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202300"/>
  <mc:AlternateContent xmlns:mc="http://schemas.openxmlformats.org/markup-compatibility/2006">
    <mc:Choice Requires="x15">
      <x15ac:absPath xmlns:x15ac="http://schemas.microsoft.com/office/spreadsheetml/2010/11/ac" url="https://taccorg-my.sharepoint.com/personal/cfernandez_tacc_org/Documents/Annual Reports/"/>
    </mc:Choice>
  </mc:AlternateContent>
  <xr:revisionPtr revIDLastSave="31" documentId="8_{6BF09145-EC49-40B2-9DB6-2B934C70B619}" xr6:coauthVersionLast="47" xr6:coauthVersionMax="47" xr10:uidLastSave="{E3E71AF4-5AB9-40AC-8BF2-51571F6547E8}"/>
  <bookViews>
    <workbookView xWindow="-120" yWindow="-120" windowWidth="29040" windowHeight="15720" xr2:uid="{00000000-000D-0000-FFFF-FFFF00000000}"/>
  </bookViews>
  <sheets>
    <sheet name="Cover" sheetId="2" r:id="rId1"/>
    <sheet name="Tuition &amp; Fees Summary" sheetId="3" r:id="rId2"/>
    <sheet name="Tuition &amp; Fees By College" sheetId="4" r:id="rId3"/>
    <sheet name="Dual Credit by College" sheetId="5" r:id="rId4"/>
    <sheet name="Dual Credit Costs" sheetId="6" r:id="rId5"/>
    <sheet name="Branch Taxes" sheetId="7" r:id="rId6"/>
    <sheet name="Property Tax"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4" l="1"/>
  <c r="M8" i="4"/>
  <c r="D53" i="8" l="1"/>
  <c r="C53" i="8"/>
  <c r="B53" i="8"/>
  <c r="E4" i="8"/>
  <c r="E5" i="8"/>
  <c r="E6" i="8"/>
  <c r="E7" i="8"/>
  <c r="F7" i="8" s="1"/>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F51" i="8" s="1"/>
  <c r="E52" i="8"/>
  <c r="F52" i="8" s="1"/>
  <c r="E3" i="8"/>
  <c r="I5" i="6"/>
  <c r="B5" i="6"/>
  <c r="E19" i="5"/>
  <c r="D19" i="5"/>
  <c r="C19" i="5"/>
  <c r="E18" i="5"/>
  <c r="D18" i="5"/>
  <c r="C18" i="5"/>
  <c r="B19" i="5"/>
  <c r="B18" i="5"/>
  <c r="C3" i="5"/>
  <c r="B3" i="5"/>
  <c r="D3" i="5" s="1"/>
  <c r="C2" i="5"/>
  <c r="C4" i="5" s="1"/>
  <c r="B2" i="5"/>
  <c r="D2" i="5" s="1"/>
  <c r="C10" i="5"/>
  <c r="D10" i="5"/>
  <c r="C11" i="5"/>
  <c r="D11" i="5"/>
  <c r="C12" i="5"/>
  <c r="D12" i="5"/>
  <c r="B12" i="5"/>
  <c r="B11" i="5"/>
  <c r="B10" i="5"/>
  <c r="H72" i="5"/>
  <c r="G72" i="5"/>
  <c r="H5" i="6" l="1"/>
  <c r="G5" i="6"/>
  <c r="F5" i="6"/>
  <c r="E5" i="6"/>
  <c r="D5" i="6"/>
  <c r="C5" i="6"/>
  <c r="E53" i="8"/>
  <c r="B4" i="5"/>
  <c r="D4" i="5" s="1"/>
  <c r="C55" i="4"/>
  <c r="G55" i="4"/>
  <c r="K55" i="4"/>
  <c r="K118" i="4"/>
  <c r="G118" i="4"/>
  <c r="C118" i="4"/>
  <c r="F118" i="4"/>
  <c r="K47" i="4"/>
  <c r="G47" i="4"/>
  <c r="C47" i="4"/>
  <c r="J47" i="4"/>
  <c r="F47" i="4"/>
  <c r="B47" i="4"/>
  <c r="K9" i="4"/>
  <c r="J9" i="4"/>
  <c r="G9" i="4"/>
  <c r="F9" i="4"/>
  <c r="C9" i="4"/>
  <c r="B9" i="4"/>
  <c r="K7" i="4"/>
  <c r="J7" i="4"/>
  <c r="G7" i="4"/>
  <c r="F7" i="4"/>
  <c r="C7" i="4"/>
  <c r="B7" i="4"/>
  <c r="F4" i="8" l="1"/>
  <c r="J118" i="4" l="1"/>
  <c r="B118" i="4"/>
  <c r="C16" i="3"/>
  <c r="K16" i="3" s="1"/>
  <c r="M16" i="3" s="1"/>
  <c r="J55" i="4"/>
  <c r="C15" i="3" s="1"/>
  <c r="K15" i="3" s="1"/>
  <c r="L15" i="3" s="1"/>
  <c r="C11" i="3"/>
  <c r="K11" i="3" s="1"/>
  <c r="L11" i="3" s="1"/>
  <c r="F55" i="4"/>
  <c r="C10" i="3" s="1"/>
  <c r="D10" i="3" s="1"/>
  <c r="E10" i="3" s="1"/>
  <c r="B55" i="4"/>
  <c r="L6" i="4"/>
  <c r="M6" i="4" s="1"/>
  <c r="L7" i="4"/>
  <c r="M7" i="4" s="1"/>
  <c r="L8" i="4"/>
  <c r="L9" i="4"/>
  <c r="M9" i="4" s="1"/>
  <c r="L10" i="4"/>
  <c r="M10" i="4" s="1"/>
  <c r="L11" i="4"/>
  <c r="M11" i="4" s="1"/>
  <c r="L12" i="4"/>
  <c r="M12" i="4" s="1"/>
  <c r="L13" i="4"/>
  <c r="M13" i="4" s="1"/>
  <c r="L14" i="4"/>
  <c r="L15" i="4"/>
  <c r="M15" i="4" s="1"/>
  <c r="L16" i="4"/>
  <c r="M16" i="4" s="1"/>
  <c r="L17" i="4"/>
  <c r="M17" i="4" s="1"/>
  <c r="L18" i="4"/>
  <c r="M18" i="4" s="1"/>
  <c r="L19" i="4"/>
  <c r="M19" i="4" s="1"/>
  <c r="L20" i="4"/>
  <c r="M20" i="4" s="1"/>
  <c r="L21" i="4"/>
  <c r="M21" i="4" s="1"/>
  <c r="L22" i="4"/>
  <c r="M22" i="4" s="1"/>
  <c r="L23" i="4"/>
  <c r="M23" i="4" s="1"/>
  <c r="L24" i="4"/>
  <c r="M24" i="4" s="1"/>
  <c r="L25" i="4"/>
  <c r="M25" i="4" s="1"/>
  <c r="L26" i="4"/>
  <c r="M26" i="4" s="1"/>
  <c r="L27" i="4"/>
  <c r="M27" i="4" s="1"/>
  <c r="L28" i="4"/>
  <c r="M28" i="4" s="1"/>
  <c r="L29" i="4"/>
  <c r="M29" i="4" s="1"/>
  <c r="L30" i="4"/>
  <c r="M30" i="4" s="1"/>
  <c r="L31" i="4"/>
  <c r="M31" i="4" s="1"/>
  <c r="L32" i="4"/>
  <c r="M32" i="4" s="1"/>
  <c r="L33" i="4"/>
  <c r="M33" i="4" s="1"/>
  <c r="L34" i="4"/>
  <c r="M34" i="4" s="1"/>
  <c r="L35" i="4"/>
  <c r="M35" i="4" s="1"/>
  <c r="L36" i="4"/>
  <c r="M36" i="4" s="1"/>
  <c r="L37" i="4"/>
  <c r="M37" i="4" s="1"/>
  <c r="L38" i="4"/>
  <c r="M38" i="4" s="1"/>
  <c r="L39" i="4"/>
  <c r="M39" i="4" s="1"/>
  <c r="L40" i="4"/>
  <c r="M40" i="4" s="1"/>
  <c r="L41" i="4"/>
  <c r="M41" i="4" s="1"/>
  <c r="L42" i="4"/>
  <c r="M42" i="4" s="1"/>
  <c r="L43" i="4"/>
  <c r="M43" i="4" s="1"/>
  <c r="L44" i="4"/>
  <c r="M44" i="4" s="1"/>
  <c r="L45" i="4"/>
  <c r="M45" i="4" s="1"/>
  <c r="L46" i="4"/>
  <c r="M46" i="4" s="1"/>
  <c r="L47" i="4"/>
  <c r="M47" i="4" s="1"/>
  <c r="L48" i="4"/>
  <c r="M48" i="4" s="1"/>
  <c r="L49" i="4"/>
  <c r="M49" i="4" s="1"/>
  <c r="L50" i="4"/>
  <c r="M50" i="4" s="1"/>
  <c r="L51" i="4"/>
  <c r="M51" i="4" s="1"/>
  <c r="L52" i="4"/>
  <c r="M52" i="4" s="1"/>
  <c r="L53" i="4"/>
  <c r="M53" i="4" s="1"/>
  <c r="L54" i="4"/>
  <c r="M54" i="4" s="1"/>
  <c r="L5" i="4"/>
  <c r="M5" i="4" s="1"/>
  <c r="H6" i="4"/>
  <c r="I6" i="4" s="1"/>
  <c r="H7" i="4"/>
  <c r="I7" i="4" s="1"/>
  <c r="H8" i="4"/>
  <c r="I8" i="4" s="1"/>
  <c r="H9" i="4"/>
  <c r="I9" i="4" s="1"/>
  <c r="H10" i="4"/>
  <c r="I10" i="4" s="1"/>
  <c r="H11" i="4"/>
  <c r="I11" i="4" s="1"/>
  <c r="H12" i="4"/>
  <c r="I12" i="4" s="1"/>
  <c r="H13" i="4"/>
  <c r="I13" i="4" s="1"/>
  <c r="H14" i="4"/>
  <c r="I14" i="4" s="1"/>
  <c r="H15" i="4"/>
  <c r="I15" i="4" s="1"/>
  <c r="H16" i="4"/>
  <c r="I16" i="4" s="1"/>
  <c r="H17" i="4"/>
  <c r="I17" i="4" s="1"/>
  <c r="H18" i="4"/>
  <c r="I18" i="4" s="1"/>
  <c r="H19" i="4"/>
  <c r="I19" i="4" s="1"/>
  <c r="H20" i="4"/>
  <c r="I20" i="4" s="1"/>
  <c r="H21" i="4"/>
  <c r="I21" i="4" s="1"/>
  <c r="H22" i="4"/>
  <c r="I22" i="4" s="1"/>
  <c r="H23" i="4"/>
  <c r="I23" i="4" s="1"/>
  <c r="H24" i="4"/>
  <c r="I24" i="4" s="1"/>
  <c r="H25" i="4"/>
  <c r="I25" i="4" s="1"/>
  <c r="H26" i="4"/>
  <c r="I26" i="4" s="1"/>
  <c r="H27" i="4"/>
  <c r="I27" i="4" s="1"/>
  <c r="H28" i="4"/>
  <c r="I28" i="4" s="1"/>
  <c r="H29" i="4"/>
  <c r="I29" i="4" s="1"/>
  <c r="H30" i="4"/>
  <c r="I30" i="4" s="1"/>
  <c r="H31" i="4"/>
  <c r="I31" i="4" s="1"/>
  <c r="H32" i="4"/>
  <c r="I32" i="4" s="1"/>
  <c r="H33" i="4"/>
  <c r="I33" i="4" s="1"/>
  <c r="H34" i="4"/>
  <c r="I34" i="4" s="1"/>
  <c r="H35" i="4"/>
  <c r="I35" i="4" s="1"/>
  <c r="H36" i="4"/>
  <c r="I36" i="4" s="1"/>
  <c r="H37" i="4"/>
  <c r="I37" i="4" s="1"/>
  <c r="H38" i="4"/>
  <c r="I38" i="4" s="1"/>
  <c r="H39" i="4"/>
  <c r="I39" i="4" s="1"/>
  <c r="H40" i="4"/>
  <c r="I40" i="4" s="1"/>
  <c r="H41" i="4"/>
  <c r="I41" i="4" s="1"/>
  <c r="H42" i="4"/>
  <c r="I42" i="4" s="1"/>
  <c r="H43" i="4"/>
  <c r="I43" i="4" s="1"/>
  <c r="H44" i="4"/>
  <c r="I44" i="4" s="1"/>
  <c r="H45" i="4"/>
  <c r="I45" i="4" s="1"/>
  <c r="H46" i="4"/>
  <c r="I46" i="4" s="1"/>
  <c r="H47" i="4"/>
  <c r="I47" i="4" s="1"/>
  <c r="H48" i="4"/>
  <c r="I48" i="4" s="1"/>
  <c r="H49" i="4"/>
  <c r="I49" i="4" s="1"/>
  <c r="H50" i="4"/>
  <c r="I50" i="4" s="1"/>
  <c r="H51" i="4"/>
  <c r="I51" i="4" s="1"/>
  <c r="H52" i="4"/>
  <c r="I52" i="4" s="1"/>
  <c r="H53" i="4"/>
  <c r="I53" i="4" s="1"/>
  <c r="H54" i="4"/>
  <c r="I54" i="4" s="1"/>
  <c r="H5" i="4"/>
  <c r="I5" i="4" s="1"/>
  <c r="D6" i="4"/>
  <c r="E6" i="4" s="1"/>
  <c r="D7" i="4"/>
  <c r="E7" i="4" s="1"/>
  <c r="D8" i="4"/>
  <c r="E8" i="4" s="1"/>
  <c r="D9" i="4"/>
  <c r="E9" i="4" s="1"/>
  <c r="D10" i="4"/>
  <c r="E10" i="4" s="1"/>
  <c r="D11" i="4"/>
  <c r="E11" i="4" s="1"/>
  <c r="D12" i="4"/>
  <c r="E12" i="4" s="1"/>
  <c r="D13" i="4"/>
  <c r="E13" i="4" s="1"/>
  <c r="D14" i="4"/>
  <c r="E14" i="4" s="1"/>
  <c r="D15" i="4"/>
  <c r="E15" i="4" s="1"/>
  <c r="D16" i="4"/>
  <c r="E16" i="4" s="1"/>
  <c r="D17" i="4"/>
  <c r="E17" i="4" s="1"/>
  <c r="D18" i="4"/>
  <c r="E18" i="4" s="1"/>
  <c r="D19" i="4"/>
  <c r="E19" i="4" s="1"/>
  <c r="D20" i="4"/>
  <c r="E20" i="4" s="1"/>
  <c r="D21" i="4"/>
  <c r="E21" i="4" s="1"/>
  <c r="D22" i="4"/>
  <c r="E22" i="4" s="1"/>
  <c r="D23" i="4"/>
  <c r="E23" i="4" s="1"/>
  <c r="D24" i="4"/>
  <c r="E24" i="4" s="1"/>
  <c r="D25" i="4"/>
  <c r="E25" i="4" s="1"/>
  <c r="D26" i="4"/>
  <c r="E26" i="4" s="1"/>
  <c r="D27" i="4"/>
  <c r="E27" i="4" s="1"/>
  <c r="D28" i="4"/>
  <c r="E28" i="4" s="1"/>
  <c r="D29" i="4"/>
  <c r="E29" i="4" s="1"/>
  <c r="D30" i="4"/>
  <c r="E30" i="4" s="1"/>
  <c r="D31" i="4"/>
  <c r="E31" i="4" s="1"/>
  <c r="D32" i="4"/>
  <c r="E32" i="4" s="1"/>
  <c r="D33" i="4"/>
  <c r="E33" i="4" s="1"/>
  <c r="D34" i="4"/>
  <c r="E34" i="4" s="1"/>
  <c r="D35" i="4"/>
  <c r="E35" i="4" s="1"/>
  <c r="D36" i="4"/>
  <c r="E36" i="4" s="1"/>
  <c r="D37" i="4"/>
  <c r="E37" i="4" s="1"/>
  <c r="D38" i="4"/>
  <c r="E38" i="4" s="1"/>
  <c r="D39" i="4"/>
  <c r="E39" i="4" s="1"/>
  <c r="D40" i="4"/>
  <c r="E40" i="4" s="1"/>
  <c r="D41" i="4"/>
  <c r="E41" i="4" s="1"/>
  <c r="D42" i="4"/>
  <c r="E42" i="4" s="1"/>
  <c r="D43" i="4"/>
  <c r="E43" i="4" s="1"/>
  <c r="D44" i="4"/>
  <c r="E44" i="4" s="1"/>
  <c r="D45" i="4"/>
  <c r="E45" i="4" s="1"/>
  <c r="D46" i="4"/>
  <c r="E46" i="4" s="1"/>
  <c r="D47" i="4"/>
  <c r="E47" i="4" s="1"/>
  <c r="D48" i="4"/>
  <c r="E48" i="4" s="1"/>
  <c r="D49" i="4"/>
  <c r="E49" i="4" s="1"/>
  <c r="D50" i="4"/>
  <c r="E50" i="4" s="1"/>
  <c r="D51" i="4"/>
  <c r="E51" i="4" s="1"/>
  <c r="D52" i="4"/>
  <c r="E52" i="4" s="1"/>
  <c r="D53" i="4"/>
  <c r="E53" i="4" s="1"/>
  <c r="D54" i="4"/>
  <c r="E54" i="4" s="1"/>
  <c r="D5" i="4"/>
  <c r="E5" i="4" s="1"/>
  <c r="B57" i="8"/>
  <c r="O9" i="8" s="1"/>
  <c r="O5" i="8"/>
  <c r="O4" i="8"/>
  <c r="O7"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6" i="8"/>
  <c r="F5" i="8"/>
  <c r="F3" i="8"/>
  <c r="F53" i="8" l="1"/>
  <c r="O10" i="8" s="1"/>
  <c r="D16" i="3"/>
  <c r="E16" i="3" s="1"/>
  <c r="D15" i="3"/>
  <c r="E15" i="3" s="1"/>
  <c r="C6" i="3"/>
  <c r="D6" i="3" s="1"/>
  <c r="E6" i="3" s="1"/>
  <c r="C5" i="3"/>
  <c r="K5" i="3" s="1"/>
  <c r="L5" i="3" s="1"/>
  <c r="K10" i="3"/>
  <c r="L10" i="3" s="1"/>
  <c r="D11" i="3"/>
  <c r="E11" i="3" s="1"/>
  <c r="D118" i="4"/>
  <c r="E118" i="4" s="1"/>
  <c r="H55" i="4"/>
  <c r="F57" i="8"/>
  <c r="O11" i="8" s="1"/>
  <c r="D55" i="4"/>
  <c r="C7" i="3" s="1"/>
  <c r="L118" i="4"/>
  <c r="M118" i="4" s="1"/>
  <c r="L55" i="4"/>
  <c r="M15" i="3"/>
  <c r="H118" i="4"/>
  <c r="I118" i="4" s="1"/>
  <c r="L16" i="3"/>
  <c r="M11" i="3"/>
  <c r="O6" i="8"/>
  <c r="D5" i="3" l="1"/>
  <c r="E5" i="3" s="1"/>
  <c r="K6" i="3"/>
  <c r="M10" i="3"/>
  <c r="M5" i="3"/>
  <c r="M55" i="4"/>
  <c r="C18" i="3" s="1"/>
  <c r="C17" i="3"/>
  <c r="E55" i="4"/>
  <c r="C8" i="3" s="1"/>
  <c r="I55" i="4"/>
  <c r="C13" i="3" s="1"/>
  <c r="C12" i="3"/>
  <c r="M6" i="3" l="1"/>
  <c r="L6" i="3"/>
  <c r="K12" i="3"/>
  <c r="D12" i="3"/>
  <c r="E12" i="3" s="1"/>
  <c r="K13" i="3"/>
  <c r="D13" i="3"/>
  <c r="E13" i="3" s="1"/>
  <c r="K7" i="3"/>
  <c r="D7" i="3"/>
  <c r="E7" i="3" s="1"/>
  <c r="K8" i="3"/>
  <c r="D8" i="3"/>
  <c r="E8" i="3" s="1"/>
  <c r="D17" i="3"/>
  <c r="E17" i="3" s="1"/>
  <c r="K17" i="3"/>
  <c r="D18" i="3"/>
  <c r="E18" i="3" s="1"/>
  <c r="K18" i="3"/>
  <c r="M18" i="3" l="1"/>
  <c r="L18" i="3"/>
  <c r="M7" i="3"/>
  <c r="L7" i="3"/>
  <c r="M13" i="3"/>
  <c r="L13" i="3"/>
  <c r="M17" i="3"/>
  <c r="L17" i="3"/>
  <c r="M8" i="3"/>
  <c r="L8" i="3"/>
  <c r="L12" i="3"/>
  <c r="M12" i="3"/>
</calcChain>
</file>

<file path=xl/sharedStrings.xml><?xml version="1.0" encoding="utf-8"?>
<sst xmlns="http://schemas.openxmlformats.org/spreadsheetml/2006/main" count="604" uniqueCount="190">
  <si>
    <t>Angelina College</t>
  </si>
  <si>
    <t>No</t>
  </si>
  <si>
    <t>Yes</t>
  </si>
  <si>
    <t>None</t>
  </si>
  <si>
    <t>All</t>
  </si>
  <si>
    <t>Navarro College</t>
  </si>
  <si>
    <t>North Central Texas College</t>
  </si>
  <si>
    <t>Weatherford College</t>
  </si>
  <si>
    <t>Central Texas College</t>
  </si>
  <si>
    <t>Blinn College</t>
  </si>
  <si>
    <t>College of the Mainland</t>
  </si>
  <si>
    <t>Trinity Valley Community College</t>
  </si>
  <si>
    <t>South Plains College</t>
  </si>
  <si>
    <t>Kilgore College</t>
  </si>
  <si>
    <t>Vernon College</t>
  </si>
  <si>
    <t>Western Texas College</t>
  </si>
  <si>
    <t>Victoria College</t>
  </si>
  <si>
    <t>Clarendon College</t>
  </si>
  <si>
    <t>Coastal Bend College</t>
  </si>
  <si>
    <t>Hill College</t>
  </si>
  <si>
    <t>Grayson College</t>
  </si>
  <si>
    <t>Midland College</t>
  </si>
  <si>
    <t>Howard College</t>
  </si>
  <si>
    <t>Odessa College</t>
  </si>
  <si>
    <t>Dallas College</t>
  </si>
  <si>
    <t>Panola College</t>
  </si>
  <si>
    <t>Wharton County Junior College</t>
  </si>
  <si>
    <t>South Texas College</t>
  </si>
  <si>
    <t>McLennan Community College</t>
  </si>
  <si>
    <t>Tyler Junior College</t>
  </si>
  <si>
    <t>Laredo College</t>
  </si>
  <si>
    <t>Cisco College</t>
  </si>
  <si>
    <t>Houston Community College</t>
  </si>
  <si>
    <t>Texarkana College</t>
  </si>
  <si>
    <t>Tarrant County College</t>
  </si>
  <si>
    <t>Lee College</t>
  </si>
  <si>
    <t>Paris Junior College</t>
  </si>
  <si>
    <t>San Jacinto College</t>
  </si>
  <si>
    <t>Brazosport College</t>
  </si>
  <si>
    <t>Ranger College</t>
  </si>
  <si>
    <t>Del Mar College</t>
  </si>
  <si>
    <t>Galveston College</t>
  </si>
  <si>
    <t>Northeast Texas Community College</t>
  </si>
  <si>
    <t>Average Fall Tuition &amp; Fees 10-Year Trend</t>
  </si>
  <si>
    <t>Difference</t>
  </si>
  <si>
    <t>% Difference</t>
  </si>
  <si>
    <t>$</t>
  </si>
  <si>
    <t>%</t>
  </si>
  <si>
    <t>10-year</t>
  </si>
  <si>
    <t>5-year</t>
  </si>
  <si>
    <t>In-District Resident</t>
  </si>
  <si>
    <t>Tuition (12 SCH)</t>
  </si>
  <si>
    <t>Fees (12 SCH)</t>
  </si>
  <si>
    <t>Total (12 SCH)</t>
  </si>
  <si>
    <t>Total per SCH</t>
  </si>
  <si>
    <t>Out-of-District Resident</t>
  </si>
  <si>
    <t>Non-Resident</t>
  </si>
  <si>
    <t>Includes all 50 Texas Community Colleges.</t>
  </si>
  <si>
    <t>This represents base tuition &amp; fees for each college. There may be additional fees based on specific course, labs, programs, and other college policies.</t>
  </si>
  <si>
    <t>All numbers are rounded to the nearest dollar</t>
  </si>
  <si>
    <t>Total per SCH is the average of the Tuition &amp; fees per hour.</t>
  </si>
  <si>
    <t>Out-of-District</t>
  </si>
  <si>
    <t>Tuition</t>
  </si>
  <si>
    <t>Fees</t>
  </si>
  <si>
    <t>Total</t>
  </si>
  <si>
    <t>Total per</t>
  </si>
  <si>
    <t>(12 SCH)</t>
  </si>
  <si>
    <t>SCH</t>
  </si>
  <si>
    <t>Alamo Colleges</t>
  </si>
  <si>
    <t>Alvin Community College</t>
  </si>
  <si>
    <t>El Paso County Community College</t>
  </si>
  <si>
    <t>Frank Phillips College</t>
  </si>
  <si>
    <t xml:space="preserve">Southwest Texas Junior College </t>
  </si>
  <si>
    <t>Community College State Average</t>
  </si>
  <si>
    <t>Amarillo College*</t>
  </si>
  <si>
    <r>
      <t xml:space="preserve">Covers </t>
    </r>
    <r>
      <rPr>
        <b/>
        <u/>
        <sz val="11"/>
        <color theme="0"/>
        <rFont val="Arial"/>
        <family val="2"/>
      </rPr>
      <t>full</t>
    </r>
    <r>
      <rPr>
        <sz val="11"/>
        <color theme="0"/>
        <rFont val="Arial"/>
        <family val="2"/>
      </rPr>
      <t xml:space="preserve"> tuition/fees </t>
    </r>
  </si>
  <si>
    <r>
      <t xml:space="preserve">Covers </t>
    </r>
    <r>
      <rPr>
        <b/>
        <u/>
        <sz val="11"/>
        <color theme="0"/>
        <rFont val="Arial"/>
        <family val="2"/>
      </rPr>
      <t>partial</t>
    </r>
    <r>
      <rPr>
        <sz val="11"/>
        <color theme="0"/>
        <rFont val="Arial"/>
        <family val="2"/>
      </rPr>
      <t xml:space="preserve"> tuition/fees</t>
    </r>
  </si>
  <si>
    <r>
      <t xml:space="preserve">Covers </t>
    </r>
    <r>
      <rPr>
        <b/>
        <u/>
        <sz val="11"/>
        <color theme="0"/>
        <rFont val="Arial"/>
        <family val="2"/>
      </rPr>
      <t>no</t>
    </r>
    <r>
      <rPr>
        <sz val="11"/>
        <color theme="0"/>
        <rFont val="Arial"/>
        <family val="2"/>
      </rPr>
      <t xml:space="preserve"> tuition/fees </t>
    </r>
  </si>
  <si>
    <t>All Students</t>
  </si>
  <si>
    <t>Some Students</t>
  </si>
  <si>
    <t>No Students</t>
  </si>
  <si>
    <t>Statewide Most Common Charge Per SCH</t>
  </si>
  <si>
    <t>$1 to $55</t>
  </si>
  <si>
    <t>$56 to $100</t>
  </si>
  <si>
    <t>&gt;$100</t>
  </si>
  <si>
    <t>#of Colleges charging for In-District Dual Credit</t>
  </si>
  <si>
    <t># of Colleges charging for Out-of-District Dual Credit</t>
  </si>
  <si>
    <t>Dual Credit Tuition &amp; Fees Waivers, Grants, and Scholarships by College</t>
  </si>
  <si>
    <t>In-District: Most common charge per SCH</t>
  </si>
  <si>
    <t>Out-of-District: Most common charge per SCH</t>
  </si>
  <si>
    <t>N/A</t>
  </si>
  <si>
    <t xml:space="preserve">*Data pulled from college websites. If tuition &amp; fee information for dual credit was not available, in-district and out-of-district reported in the general tuition &amp; fees table were substituted for most common charge per SCH. </t>
  </si>
  <si>
    <t>Caveats:</t>
  </si>
  <si>
    <t xml:space="preserve">·This represents base tuition &amp; fees for each college. There may be additional fees based on specific course, labs, programs, and other college policies. Fees may also differ based on academic versus career and technical programs. </t>
  </si>
  <si>
    <t>· Dual credit tuition fees reported to TACC as the “most common charge per SCH” may not match publicly posted tuition and fees schedules on college websites.</t>
  </si>
  <si>
    <t>· Data verification and validation is limited based on the lack of an equivalent state date resource for dual credit costs.</t>
  </si>
  <si>
    <t xml:space="preserve">· Tuition &amp; Fees may have changed since data was reported to TACC based on institutional decisions to participate in the FAST program. </t>
  </si>
  <si>
    <t>· There may be differences in direct cost to students based on agreements with specific high schools and the amount that the high school pays in lieu of the student.</t>
  </si>
  <si>
    <t>Student's school district</t>
  </si>
  <si>
    <t>Student's financial need</t>
  </si>
  <si>
    <t>Aggregate demand for course</t>
  </si>
  <si>
    <t>Whether course is academic or CTE</t>
  </si>
  <si>
    <t>Student's past performance</t>
  </si>
  <si>
    <t>Student's credit needs</t>
  </si>
  <si>
    <t>Cost of providing course</t>
  </si>
  <si>
    <t>Always Used</t>
  </si>
  <si>
    <t>Sometimes Used</t>
  </si>
  <si>
    <t>Community College Dual Credit Instructor Compensation</t>
  </si>
  <si>
    <t>0% of DC courses</t>
  </si>
  <si>
    <t>1% to 25% of DC Courses</t>
  </si>
  <si>
    <t>26% to 50% of DC courses</t>
  </si>
  <si>
    <t>51% to 75% of DC courses</t>
  </si>
  <si>
    <t>76% to 99% of DC Courses</t>
  </si>
  <si>
    <t xml:space="preserve">100% of DC Courses </t>
  </si>
  <si>
    <t>*Total cost paid by CC</t>
  </si>
  <si>
    <t>**Part of cost paid by CC</t>
  </si>
  <si>
    <t>Branch Maintenance Tax</t>
  </si>
  <si>
    <t>College</t>
  </si>
  <si>
    <t>Current # of branch campus tax districts</t>
  </si>
  <si>
    <t>Total taxable value of branch districts</t>
  </si>
  <si>
    <t>Amarillo Community College</t>
  </si>
  <si>
    <t>Net taxable value</t>
  </si>
  <si>
    <t>M&amp;O rate</t>
  </si>
  <si>
    <t>I&amp;S Rate</t>
  </si>
  <si>
    <t>Total rate</t>
  </si>
  <si>
    <t>FY 15</t>
  </si>
  <si>
    <t>FY 17</t>
  </si>
  <si>
    <t>FY 19</t>
  </si>
  <si>
    <t>Avg M&amp;O rate</t>
  </si>
  <si>
    <t>Avg I&amp;S rate (&gt;0)</t>
  </si>
  <si>
    <t>Avg total rate</t>
  </si>
  <si>
    <t>Total net valuation (billions)</t>
  </si>
  <si>
    <t>Avg valuation (millions)</t>
  </si>
  <si>
    <t>Est total levy (millions)</t>
  </si>
  <si>
    <t>Est avg levy (millions)</t>
  </si>
  <si>
    <t>Temple College*</t>
  </si>
  <si>
    <t>Fall 2024</t>
  </si>
  <si>
    <t>Fast-Eligibility</t>
  </si>
  <si>
    <t>*Based on responses from 46 TACC member colleges.</t>
  </si>
  <si>
    <t>Thank you for accessing TACC's FY 2026 Local Revenue Data Report.
This report presents a summary of key data collected primarily through the TACC survey, with some supplemental data pulled from The Texas Higher Education Coordinating Board and from institutional websites. Please see the notes below the data tables in subsequent tabs for additional details.          
For information on the full set of data requested, please see the TACC survey included on the last tab of this workbook. 
Questions/comments about this data and related inquiries should be directed to Chris Fernandez, TACC Senior Director of Strategy &amp; Policy, at cfernandez@tacc.org</t>
  </si>
  <si>
    <t>Fall 2025</t>
  </si>
  <si>
    <t>Fall 2020</t>
  </si>
  <si>
    <t>Fall 2015</t>
  </si>
  <si>
    <t>Source: TACC FY2016, FY2021 &amp; FY2026 Local Revenues Data Request and college posted tuition &amp; fees.</t>
  </si>
  <si>
    <t>Source: TACC FY2025 &amp; FY2026 Local Revenues Data Request and college posted tuition &amp; fees.</t>
  </si>
  <si>
    <t>Fall 2025 Tuition &amp; Fees by Student Type</t>
  </si>
  <si>
    <t>Some but not all</t>
  </si>
  <si>
    <t>Lone Star College</t>
  </si>
  <si>
    <t>Collin College</t>
  </si>
  <si>
    <t>This represents base tuition &amp; fees at an in-district location. There may be additional charges based on specific course, labs, program, location and other college policies.</t>
  </si>
  <si>
    <t>*Sourced from college website.</t>
  </si>
  <si>
    <t>Austin Community College District*</t>
  </si>
  <si>
    <t>Texas Southmost College*</t>
  </si>
  <si>
    <t>Spring 2026 Tuition &amp; Fees by Student Type</t>
  </si>
  <si>
    <t>Source: TACC FY2026 Local Revenues Data Request and college posted tuition and fees</t>
  </si>
  <si>
    <t>State average fees excludes colleges charging zero fees. All numbers are rounded to the nearest dollar</t>
  </si>
  <si>
    <t>Fall 2025 Tuition &amp; Fees Community College Sector Average</t>
  </si>
  <si>
    <t xml:space="preserve">Source: TACC FY2026 Local Revenues Data Request. </t>
  </si>
  <si>
    <t>2025-2026 FAST Participation</t>
  </si>
  <si>
    <t>Subsidizes dual credit from sources other than FAST</t>
  </si>
  <si>
    <t>Of colleges that subsidize dual credit from soures other than FAST</t>
  </si>
  <si>
    <t xml:space="preserve">Source: TACC FY2026 Local Revenues Data Request and college posted dual credit tuition and fees where available. </t>
  </si>
  <si>
    <r>
      <t xml:space="preserve">Covers </t>
    </r>
    <r>
      <rPr>
        <b/>
        <u/>
        <sz val="11"/>
        <color theme="0"/>
        <rFont val="Arial"/>
        <family val="2"/>
      </rPr>
      <t>full</t>
    </r>
    <r>
      <rPr>
        <sz val="11"/>
        <color theme="0"/>
        <rFont val="Arial"/>
        <family val="2"/>
      </rPr>
      <t xml:space="preserve"> tuition/fees for </t>
    </r>
    <r>
      <rPr>
        <i/>
        <sz val="11"/>
        <color theme="0"/>
        <rFont val="Arial"/>
        <family val="2"/>
      </rPr>
      <t xml:space="preserve">blank </t>
    </r>
    <r>
      <rPr>
        <sz val="11"/>
        <color theme="0"/>
        <rFont val="Arial"/>
        <family val="2"/>
      </rPr>
      <t>students</t>
    </r>
  </si>
  <si>
    <r>
      <t xml:space="preserve">Covers </t>
    </r>
    <r>
      <rPr>
        <b/>
        <u/>
        <sz val="11"/>
        <color theme="0"/>
        <rFont val="Arial"/>
        <family val="2"/>
      </rPr>
      <t>partial</t>
    </r>
    <r>
      <rPr>
        <sz val="11"/>
        <color theme="0"/>
        <rFont val="Arial"/>
        <family val="2"/>
      </rPr>
      <t xml:space="preserve"> tuition/fees for </t>
    </r>
    <r>
      <rPr>
        <i/>
        <sz val="11"/>
        <color theme="0"/>
        <rFont val="Arial"/>
        <family val="2"/>
      </rPr>
      <t xml:space="preserve">blank </t>
    </r>
    <r>
      <rPr>
        <sz val="11"/>
        <color theme="0"/>
        <rFont val="Arial"/>
        <family val="2"/>
      </rPr>
      <t>students</t>
    </r>
  </si>
  <si>
    <r>
      <t xml:space="preserve">Covers </t>
    </r>
    <r>
      <rPr>
        <b/>
        <u/>
        <sz val="11"/>
        <color theme="0"/>
        <rFont val="Arial"/>
        <family val="2"/>
      </rPr>
      <t>no</t>
    </r>
    <r>
      <rPr>
        <sz val="11"/>
        <color theme="0"/>
        <rFont val="Arial"/>
        <family val="2"/>
      </rPr>
      <t xml:space="preserve"> tuition/fees for </t>
    </r>
    <r>
      <rPr>
        <i/>
        <sz val="11"/>
        <color theme="0"/>
        <rFont val="Arial"/>
        <family val="2"/>
      </rPr>
      <t xml:space="preserve">blank </t>
    </r>
    <r>
      <rPr>
        <sz val="11"/>
        <color theme="0"/>
        <rFont val="Arial"/>
        <family val="2"/>
      </rPr>
      <t>students</t>
    </r>
  </si>
  <si>
    <t>·Logically inconsistent responses (e.g., that the college covers partial tuition/fees for all students but full or no tuition/fees for some) have not been verified.</t>
  </si>
  <si>
    <t># of Colleges with Dual Credit Subidies</t>
  </si>
  <si>
    <t>FAST Participation: YES</t>
  </si>
  <si>
    <t>FAST Participation: NO</t>
  </si>
  <si>
    <t>Non-FAST Subsidies: YES</t>
  </si>
  <si>
    <t>Non-FAST Subsidies: NO</t>
  </si>
  <si>
    <t>Non-FAST Dual Credit Subsidies (from Sources Other Than FAST)</t>
  </si>
  <si>
    <t>TOTAL</t>
  </si>
  <si>
    <t>Based on responses from 46 TACC member colleges.</t>
  </si>
  <si>
    <t>Based on responses from 28 TACC member colleges reporting non-FAST dual credit subsidies.</t>
  </si>
  <si>
    <t xml:space="preserve">Statewide Community College Criteria for Determining In-District Dual Credit Tuition/Fee Charges </t>
  </si>
  <si>
    <t>Never Used or N/A</t>
  </si>
  <si>
    <t>** Based on responses from 27 TACC member colleges; excludes institutions who indicated they cover all instructor compensation for 100% of dual credit courses.</t>
  </si>
  <si>
    <t>FY25 branch district levy</t>
  </si>
  <si>
    <t>Source: TACC FY2026 Local Revenues Data Request.</t>
  </si>
  <si>
    <t>FY26 Levy estimate</t>
  </si>
  <si>
    <t>Kilgore College*</t>
  </si>
  <si>
    <t>Vernon College*</t>
  </si>
  <si>
    <t>Community College State Total</t>
  </si>
  <si>
    <r>
      <t>FY2025 Local Property Taxes for Central Districts (</t>
    </r>
    <r>
      <rPr>
        <b/>
        <i/>
        <sz val="14"/>
        <color theme="0"/>
        <rFont val="Arial"/>
        <family val="2"/>
      </rPr>
      <t>does not include branch campus maintenance districts</t>
    </r>
    <r>
      <rPr>
        <b/>
        <sz val="14"/>
        <color theme="0"/>
        <rFont val="Arial"/>
        <family val="2"/>
      </rPr>
      <t>)</t>
    </r>
  </si>
  <si>
    <t>Source: THECB CARAT System; Texas Comptroller 2025 Special District Rates and Levies</t>
  </si>
  <si>
    <t>Sources: TACC Local Revenues Reports</t>
  </si>
  <si>
    <t>FY 26</t>
  </si>
  <si>
    <t>FY 24</t>
  </si>
  <si>
    <t>FY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</si>
</sst>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42" formatCode="_(&quot;$&quot;* #,##0_);_(&quot;$&quot;* \(#,##0\);_(&quot;$&quot;* &quot;-&quot;_);_(@_)"/>
    <numFmt numFmtId="44" formatCode="_(&quot;$&quot;* #,##0.00_);_(&quot;$&quot;* \(#,##0.00\);_(&quot;$&quot;* &quot;-&quot;??_);_(@_)"/>
    <numFmt numFmtId="164" formatCode="0.0%"/>
    <numFmt numFmtId="165" formatCode="&quot;$&quot;#,##0"/>
    <numFmt numFmtId="166" formatCode="0.0000"/>
    <numFmt numFmtId="167" formatCode="_(&quot;$&quot;* #,##0.0000_);_(&quot;$&quot;* \(#,##0.0000\);_(&quot;$&quot;* &quot;-&quot;??_);_(@_)"/>
    <numFmt numFmtId="168" formatCode="_(&quot;$&quot;* #,##0.000000_);_(&quot;$&quot;* \(#,##0.000000\);_(&quot;$&quot;* &quot;-&quot;??_);_(@_)"/>
    <numFmt numFmtId="169" formatCode="_(&quot;$&quot;* #,##0_);_(&quot;$&quot;* \(#,##0\);_(&quot;$&quot;* &quot;-&quot;??_);_(@_)"/>
  </numFmts>
  <fonts count="29">
    <font>
      <sz val="11"/>
      <color indexed="8"/>
      <name val="Aptos Narrow"/>
      <family val="2"/>
      <scheme val="minor"/>
    </font>
    <font>
      <sz val="11"/>
      <color theme="1"/>
      <name val="Aptos Narrow"/>
      <family val="2"/>
      <scheme val="minor"/>
    </font>
    <font>
      <sz val="11"/>
      <color theme="1"/>
      <name val="Aptos Narrow"/>
      <family val="2"/>
      <scheme val="minor"/>
    </font>
    <font>
      <sz val="11"/>
      <color indexed="8"/>
      <name val="Aptos Narrow"/>
      <family val="2"/>
      <scheme val="minor"/>
    </font>
    <font>
      <sz val="12"/>
      <color theme="1"/>
      <name val="Aptos Narrow"/>
      <family val="2"/>
      <scheme val="minor"/>
    </font>
    <font>
      <sz val="12"/>
      <color theme="4" tint="-0.249977111117893"/>
      <name val="Aptos Narrow"/>
      <family val="2"/>
      <scheme val="minor"/>
    </font>
    <font>
      <b/>
      <sz val="14"/>
      <color theme="4" tint="-0.249977111117893"/>
      <name val="Arial"/>
      <family val="2"/>
    </font>
    <font>
      <b/>
      <sz val="14"/>
      <color theme="0"/>
      <name val="Arial"/>
      <family val="2"/>
    </font>
    <font>
      <sz val="12"/>
      <color theme="1"/>
      <name val="Arial"/>
      <family val="2"/>
    </font>
    <font>
      <b/>
      <sz val="12"/>
      <color theme="0"/>
      <name val="Arial"/>
      <family val="2"/>
    </font>
    <font>
      <b/>
      <sz val="12"/>
      <name val="Arial"/>
      <family val="2"/>
    </font>
    <font>
      <sz val="12"/>
      <name val="Arial"/>
      <family val="2"/>
    </font>
    <font>
      <b/>
      <sz val="12"/>
      <color theme="1"/>
      <name val="Arial"/>
      <family val="2"/>
    </font>
    <font>
      <sz val="10"/>
      <color theme="1"/>
      <name val="Arial"/>
      <family val="2"/>
    </font>
    <font>
      <sz val="10"/>
      <color theme="1"/>
      <name val="Aptos Narrow"/>
      <family val="2"/>
      <scheme val="minor"/>
    </font>
    <font>
      <sz val="12"/>
      <color theme="0"/>
      <name val="Arial"/>
      <family val="2"/>
    </font>
    <font>
      <sz val="11"/>
      <color theme="0"/>
      <name val="Arial"/>
      <family val="2"/>
    </font>
    <font>
      <b/>
      <u/>
      <sz val="11"/>
      <color theme="0"/>
      <name val="Arial"/>
      <family val="2"/>
    </font>
    <font>
      <sz val="11"/>
      <color theme="1"/>
      <name val="Arial"/>
      <family val="2"/>
    </font>
    <font>
      <b/>
      <sz val="11"/>
      <color theme="1"/>
      <name val="Arial"/>
      <family val="2"/>
    </font>
    <font>
      <b/>
      <sz val="12"/>
      <color theme="1"/>
      <name val="Aptos Narrow"/>
      <family val="2"/>
      <scheme val="minor"/>
    </font>
    <font>
      <sz val="14"/>
      <color theme="1"/>
      <name val="Arial"/>
      <family val="2"/>
    </font>
    <font>
      <b/>
      <sz val="14"/>
      <color theme="1"/>
      <name val="Arial"/>
      <family val="2"/>
    </font>
    <font>
      <i/>
      <sz val="12"/>
      <color theme="1"/>
      <name val="Arial"/>
      <family val="2"/>
    </font>
    <font>
      <sz val="8"/>
      <name val="Aptos Narrow"/>
      <family val="2"/>
      <scheme val="minor"/>
    </font>
    <font>
      <b/>
      <i/>
      <sz val="14"/>
      <color theme="0"/>
      <name val="Arial"/>
      <family val="2"/>
    </font>
    <font>
      <b/>
      <i/>
      <sz val="12"/>
      <color theme="0"/>
      <name val="Arial"/>
      <family val="2"/>
    </font>
    <font>
      <i/>
      <sz val="11"/>
      <color theme="0"/>
      <name val="Arial"/>
      <family val="2"/>
    </font>
    <font>
      <sz val="10"/>
      <name val="Geneva"/>
      <family val="2"/>
    </font>
  </fonts>
  <fills count="8">
    <fill>
      <patternFill patternType="none"/>
    </fill>
    <fill>
      <patternFill patternType="gray125"/>
    </fill>
    <fill>
      <patternFill patternType="none">
        <fgColor indexed="22"/>
      </patternFill>
    </fill>
    <fill>
      <patternFill patternType="solid">
        <fgColor theme="0"/>
        <bgColor indexed="64"/>
      </patternFill>
    </fill>
    <fill>
      <patternFill patternType="solid">
        <fgColor theme="3" tint="0.89999084444715716"/>
        <bgColor indexed="64"/>
      </patternFill>
    </fill>
    <fill>
      <patternFill patternType="solid">
        <fgColor rgb="FF002060"/>
        <bgColor indexed="64"/>
      </patternFill>
    </fill>
    <fill>
      <patternFill patternType="solid">
        <fgColor rgb="FF002060"/>
        <bgColor indexed="22"/>
      </patternFill>
    </fill>
    <fill>
      <patternFill patternType="solid">
        <fgColor theme="7" tint="0.59999389629810485"/>
        <bgColor indexed="64"/>
      </patternFill>
    </fill>
  </fills>
  <borders count="48">
    <border>
      <left/>
      <right/>
      <top/>
      <bottom/>
      <diagonal/>
    </border>
    <border>
      <left style="medium">
        <color auto="1"/>
      </left>
      <right/>
      <top style="medium">
        <color auto="1"/>
      </top>
      <bottom/>
      <diagonal/>
    </border>
    <border>
      <left/>
      <right/>
      <top style="medium">
        <color indexed="64"/>
      </top>
      <bottom/>
      <diagonal/>
    </border>
    <border>
      <left style="medium">
        <color auto="1"/>
      </left>
      <right/>
      <top/>
      <bottom/>
      <diagonal/>
    </border>
    <border>
      <left style="thin">
        <color auto="1"/>
      </left>
      <right style="thin">
        <color auto="1"/>
      </right>
      <top style="thin">
        <color auto="1"/>
      </top>
      <bottom/>
      <diagonal/>
    </border>
    <border>
      <left style="thin">
        <color indexed="64"/>
      </left>
      <right/>
      <top style="thin">
        <color indexed="64"/>
      </top>
      <bottom/>
      <diagonal/>
    </border>
    <border>
      <left/>
      <right style="medium">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style="medium">
        <color auto="1"/>
      </right>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style="medium">
        <color auto="1"/>
      </top>
      <bottom/>
      <diagonal/>
    </border>
    <border>
      <left style="medium">
        <color auto="1"/>
      </left>
      <right/>
      <top style="thin">
        <color indexed="64"/>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indexed="64"/>
      </right>
      <top style="thin">
        <color auto="1"/>
      </top>
      <bottom/>
      <diagonal/>
    </border>
    <border>
      <left/>
      <right style="thin">
        <color indexed="64"/>
      </right>
      <top/>
      <bottom/>
      <diagonal/>
    </border>
    <border>
      <left/>
      <right style="thin">
        <color indexed="64"/>
      </right>
      <top/>
      <bottom style="medium">
        <color auto="1"/>
      </bottom>
      <diagonal/>
    </border>
    <border>
      <left/>
      <right style="thin">
        <color indexed="64"/>
      </right>
      <top/>
      <bottom style="thin">
        <color auto="1"/>
      </bottom>
      <diagonal/>
    </border>
    <border>
      <left style="thin">
        <color indexed="64"/>
      </left>
      <right/>
      <top/>
      <bottom style="thin">
        <color indexed="64"/>
      </bottom>
      <diagonal/>
    </border>
    <border>
      <left style="medium">
        <color auto="1"/>
      </left>
      <right style="thin">
        <color auto="1"/>
      </right>
      <top style="thin">
        <color auto="1"/>
      </top>
      <bottom/>
      <diagonal/>
    </border>
  </borders>
  <cellStyleXfs count="15">
    <xf numFmtId="0" fontId="0" fillId="0" borderId="0"/>
    <xf numFmtId="0" fontId="4" fillId="2" borderId="0"/>
    <xf numFmtId="44" fontId="4" fillId="2" borderId="0" applyFont="0" applyFill="0" applyBorder="0" applyAlignment="0" applyProtection="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1" fillId="2" borderId="0"/>
    <xf numFmtId="0" fontId="28" fillId="2" borderId="0"/>
    <xf numFmtId="9" fontId="4" fillId="2" borderId="0" applyFont="0" applyFill="0" applyBorder="0" applyAlignment="0" applyProtection="0"/>
    <xf numFmtId="0" fontId="1" fillId="2" borderId="0"/>
    <xf numFmtId="0" fontId="4" fillId="2" borderId="0"/>
  </cellStyleXfs>
  <cellXfs count="242">
    <xf numFmtId="0" fontId="0" fillId="0" borderId="0" xfId="0"/>
    <xf numFmtId="0" fontId="5" fillId="3" borderId="0" xfId="1" applyFont="1" applyFill="1"/>
    <xf numFmtId="14" fontId="5" fillId="3" borderId="0" xfId="1" applyNumberFormat="1" applyFont="1" applyFill="1"/>
    <xf numFmtId="0" fontId="4" fillId="3" borderId="0" xfId="1" applyFill="1"/>
    <xf numFmtId="0" fontId="4" fillId="2" borderId="0" xfId="1"/>
    <xf numFmtId="2" fontId="4" fillId="2" borderId="0" xfId="1" applyNumberFormat="1"/>
    <xf numFmtId="0" fontId="11" fillId="2" borderId="11" xfId="1" applyFont="1" applyBorder="1" applyAlignment="1">
      <alignment horizontal="right"/>
    </xf>
    <xf numFmtId="42" fontId="11" fillId="2" borderId="8" xfId="1" applyNumberFormat="1" applyFont="1" applyBorder="1" applyAlignment="1">
      <alignment horizontal="center" wrapText="1"/>
    </xf>
    <xf numFmtId="42" fontId="11" fillId="2" borderId="8" xfId="1" applyNumberFormat="1" applyFont="1" applyBorder="1" applyAlignment="1">
      <alignment wrapText="1"/>
    </xf>
    <xf numFmtId="0" fontId="11" fillId="2" borderId="13" xfId="1" applyFont="1" applyBorder="1" applyAlignment="1">
      <alignment horizontal="right"/>
    </xf>
    <xf numFmtId="42" fontId="11" fillId="2" borderId="14" xfId="1" applyNumberFormat="1" applyFont="1" applyBorder="1" applyAlignment="1">
      <alignment horizontal="center" wrapText="1"/>
    </xf>
    <xf numFmtId="49" fontId="13" fillId="2" borderId="2" xfId="1" applyNumberFormat="1" applyFont="1" applyBorder="1"/>
    <xf numFmtId="0" fontId="4" fillId="2" borderId="2" xfId="1" applyBorder="1"/>
    <xf numFmtId="2" fontId="2" fillId="2" borderId="0" xfId="1" applyNumberFormat="1" applyFont="1"/>
    <xf numFmtId="0" fontId="2" fillId="2" borderId="0" xfId="1" applyFont="1"/>
    <xf numFmtId="0" fontId="4" fillId="2" borderId="0" xfId="1" applyAlignment="1">
      <alignment wrapText="1"/>
    </xf>
    <xf numFmtId="42" fontId="13" fillId="2" borderId="0" xfId="1" applyNumberFormat="1" applyFont="1" applyAlignment="1">
      <alignment wrapText="1"/>
    </xf>
    <xf numFmtId="164" fontId="13" fillId="2" borderId="0" xfId="1" applyNumberFormat="1" applyFont="1" applyAlignment="1">
      <alignment wrapText="1"/>
    </xf>
    <xf numFmtId="2" fontId="14" fillId="2" borderId="0" xfId="1" applyNumberFormat="1" applyFont="1"/>
    <xf numFmtId="0" fontId="14" fillId="2" borderId="0" xfId="1" applyFont="1"/>
    <xf numFmtId="49" fontId="13" fillId="2" borderId="0" xfId="1" applyNumberFormat="1" applyFont="1"/>
    <xf numFmtId="49" fontId="8" fillId="2" borderId="0" xfId="1" applyNumberFormat="1" applyFont="1"/>
    <xf numFmtId="42" fontId="8" fillId="2" borderId="0" xfId="1" applyNumberFormat="1" applyFont="1" applyAlignment="1">
      <alignment wrapText="1"/>
    </xf>
    <xf numFmtId="164" fontId="8" fillId="2" borderId="0" xfId="1" applyNumberFormat="1" applyFont="1" applyAlignment="1">
      <alignment wrapText="1"/>
    </xf>
    <xf numFmtId="164" fontId="4" fillId="2" borderId="0" xfId="1" applyNumberFormat="1"/>
    <xf numFmtId="49" fontId="8" fillId="2" borderId="3" xfId="1" applyNumberFormat="1" applyFont="1" applyBorder="1"/>
    <xf numFmtId="49" fontId="12" fillId="2" borderId="19" xfId="1" applyNumberFormat="1" applyFont="1" applyBorder="1"/>
    <xf numFmtId="165" fontId="8" fillId="2" borderId="0" xfId="1" applyNumberFormat="1" applyFont="1"/>
    <xf numFmtId="0" fontId="8" fillId="2" borderId="0" xfId="1" applyFont="1"/>
    <xf numFmtId="49" fontId="8" fillId="2" borderId="19" xfId="1" applyNumberFormat="1" applyFont="1" applyBorder="1"/>
    <xf numFmtId="164" fontId="8" fillId="2" borderId="20" xfId="1" applyNumberFormat="1" applyFont="1" applyBorder="1" applyAlignment="1">
      <alignment wrapText="1"/>
    </xf>
    <xf numFmtId="165" fontId="8" fillId="2" borderId="3" xfId="1" applyNumberFormat="1" applyFont="1" applyBorder="1"/>
    <xf numFmtId="49" fontId="13" fillId="2" borderId="2" xfId="1" applyNumberFormat="1" applyFont="1" applyBorder="1" applyAlignment="1">
      <alignment vertical="center"/>
    </xf>
    <xf numFmtId="0" fontId="8" fillId="2" borderId="0" xfId="1" applyFont="1" applyAlignment="1">
      <alignment vertical="center"/>
    </xf>
    <xf numFmtId="0" fontId="13" fillId="2" borderId="0" xfId="1" applyFont="1" applyAlignment="1">
      <alignment vertical="center"/>
    </xf>
    <xf numFmtId="2" fontId="13" fillId="2" borderId="0" xfId="1" applyNumberFormat="1" applyFont="1" applyAlignment="1">
      <alignment vertical="center"/>
    </xf>
    <xf numFmtId="2" fontId="14" fillId="2" borderId="0" xfId="1" applyNumberFormat="1" applyFont="1" applyAlignment="1">
      <alignment vertical="center"/>
    </xf>
    <xf numFmtId="0" fontId="14" fillId="2" borderId="0" xfId="1" applyFont="1" applyAlignment="1">
      <alignment vertical="center"/>
    </xf>
    <xf numFmtId="49" fontId="4" fillId="2" borderId="0" xfId="1" applyNumberFormat="1"/>
    <xf numFmtId="49" fontId="8" fillId="2" borderId="0" xfId="1" applyNumberFormat="1" applyFont="1" applyAlignment="1">
      <alignment wrapText="1"/>
    </xf>
    <xf numFmtId="0" fontId="4" fillId="2" borderId="0" xfId="1" applyAlignment="1">
      <alignment vertical="center"/>
    </xf>
    <xf numFmtId="165" fontId="8" fillId="2" borderId="0" xfId="1" applyNumberFormat="1" applyFont="1" applyAlignment="1">
      <alignment vertical="center"/>
    </xf>
    <xf numFmtId="0" fontId="8" fillId="2" borderId="0" xfId="1" applyFont="1" applyAlignment="1">
      <alignment wrapText="1"/>
    </xf>
    <xf numFmtId="3" fontId="8" fillId="2" borderId="10" xfId="1" applyNumberFormat="1" applyFont="1" applyBorder="1"/>
    <xf numFmtId="0" fontId="20" fillId="2" borderId="0" xfId="1" applyFont="1"/>
    <xf numFmtId="49" fontId="13" fillId="2" borderId="0" xfId="1" applyNumberFormat="1" applyFont="1" applyAlignment="1">
      <alignment vertical="center"/>
    </xf>
    <xf numFmtId="0" fontId="13" fillId="2" borderId="0" xfId="1" applyFont="1"/>
    <xf numFmtId="0" fontId="8" fillId="2" borderId="3" xfId="1" applyFont="1" applyBorder="1"/>
    <xf numFmtId="0" fontId="8" fillId="2" borderId="19" xfId="1" applyFont="1" applyBorder="1"/>
    <xf numFmtId="1" fontId="8" fillId="2" borderId="20" xfId="1" applyNumberFormat="1" applyFont="1" applyBorder="1"/>
    <xf numFmtId="1" fontId="8" fillId="2" borderId="21" xfId="1" applyNumberFormat="1" applyFont="1" applyBorder="1"/>
    <xf numFmtId="44" fontId="8" fillId="2" borderId="0" xfId="1" applyNumberFormat="1" applyFont="1"/>
    <xf numFmtId="0" fontId="4" fillId="2" borderId="3" xfId="1" applyBorder="1"/>
    <xf numFmtId="1" fontId="4" fillId="2" borderId="0" xfId="1" applyNumberFormat="1"/>
    <xf numFmtId="44" fontId="4" fillId="2" borderId="0" xfId="1" applyNumberFormat="1"/>
    <xf numFmtId="49" fontId="20" fillId="2" borderId="0" xfId="1" applyNumberFormat="1" applyFont="1"/>
    <xf numFmtId="0" fontId="13" fillId="2" borderId="0" xfId="1" applyFont="1" applyAlignment="1">
      <alignment horizontal="left"/>
    </xf>
    <xf numFmtId="0" fontId="8" fillId="2" borderId="0" xfId="1" applyFont="1" applyAlignment="1">
      <alignment horizontal="left"/>
    </xf>
    <xf numFmtId="0" fontId="23" fillId="2" borderId="0" xfId="1" applyFont="1"/>
    <xf numFmtId="44" fontId="13" fillId="2" borderId="0" xfId="1" applyNumberFormat="1" applyFont="1"/>
    <xf numFmtId="42" fontId="8" fillId="2" borderId="0" xfId="1" applyNumberFormat="1" applyFont="1"/>
    <xf numFmtId="166" fontId="8" fillId="2" borderId="0" xfId="1" applyNumberFormat="1" applyFont="1"/>
    <xf numFmtId="49" fontId="8" fillId="0" borderId="3" xfId="1" applyNumberFormat="1" applyFont="1" applyFill="1" applyBorder="1"/>
    <xf numFmtId="49" fontId="12" fillId="0" borderId="19" xfId="1" applyNumberFormat="1" applyFont="1" applyFill="1" applyBorder="1"/>
    <xf numFmtId="49" fontId="8" fillId="0" borderId="19" xfId="1" applyNumberFormat="1" applyFont="1" applyFill="1" applyBorder="1"/>
    <xf numFmtId="0" fontId="8" fillId="0" borderId="20" xfId="1" applyFont="1" applyFill="1" applyBorder="1" applyAlignment="1">
      <alignment wrapText="1"/>
    </xf>
    <xf numFmtId="0" fontId="8" fillId="0" borderId="21" xfId="1" applyFont="1" applyFill="1" applyBorder="1"/>
    <xf numFmtId="49" fontId="7" fillId="5" borderId="1" xfId="1" applyNumberFormat="1" applyFont="1" applyFill="1" applyBorder="1" applyAlignment="1">
      <alignment vertical="center"/>
    </xf>
    <xf numFmtId="49" fontId="15" fillId="5" borderId="2" xfId="1" applyNumberFormat="1" applyFont="1" applyFill="1" applyBorder="1" applyAlignment="1">
      <alignment wrapText="1"/>
    </xf>
    <xf numFmtId="49" fontId="15" fillId="5" borderId="3" xfId="1" applyNumberFormat="1" applyFont="1" applyFill="1" applyBorder="1"/>
    <xf numFmtId="0" fontId="16" fillId="5" borderId="22" xfId="1" applyFont="1" applyFill="1" applyBorder="1" applyAlignment="1">
      <alignment horizontal="center" wrapText="1"/>
    </xf>
    <xf numFmtId="0" fontId="16" fillId="5" borderId="23" xfId="1" applyFont="1" applyFill="1" applyBorder="1" applyAlignment="1">
      <alignment horizontal="center" wrapText="1"/>
    </xf>
    <xf numFmtId="49" fontId="15" fillId="5" borderId="2" xfId="1" applyNumberFormat="1" applyFont="1" applyFill="1" applyBorder="1" applyAlignment="1">
      <alignment vertical="center" wrapText="1"/>
    </xf>
    <xf numFmtId="165" fontId="15" fillId="5" borderId="15" xfId="1" applyNumberFormat="1" applyFont="1" applyFill="1" applyBorder="1" applyAlignment="1">
      <alignment vertical="center"/>
    </xf>
    <xf numFmtId="6" fontId="15" fillId="5" borderId="17" xfId="1" applyNumberFormat="1" applyFont="1" applyFill="1" applyBorder="1" applyAlignment="1">
      <alignment horizontal="center" vertical="center"/>
    </xf>
    <xf numFmtId="0" fontId="15" fillId="5" borderId="17" xfId="1" applyFont="1" applyFill="1" applyBorder="1" applyAlignment="1">
      <alignment horizontal="center" vertical="center"/>
    </xf>
    <xf numFmtId="0" fontId="15" fillId="5" borderId="18" xfId="1" applyFont="1" applyFill="1" applyBorder="1" applyAlignment="1">
      <alignment horizontal="center" vertical="center"/>
    </xf>
    <xf numFmtId="49" fontId="9" fillId="5" borderId="3" xfId="1" applyNumberFormat="1" applyFont="1" applyFill="1" applyBorder="1"/>
    <xf numFmtId="42" fontId="9" fillId="5" borderId="4" xfId="1" applyNumberFormat="1" applyFont="1" applyFill="1" applyBorder="1" applyAlignment="1">
      <alignment horizontal="center" wrapText="1"/>
    </xf>
    <xf numFmtId="42" fontId="9" fillId="5" borderId="8" xfId="1" applyNumberFormat="1" applyFont="1" applyFill="1" applyBorder="1" applyAlignment="1">
      <alignment horizontal="center" wrapText="1"/>
    </xf>
    <xf numFmtId="42" fontId="9" fillId="5" borderId="9" xfId="1" applyNumberFormat="1" applyFont="1" applyFill="1" applyBorder="1" applyAlignment="1">
      <alignment horizontal="center" wrapText="1"/>
    </xf>
    <xf numFmtId="164" fontId="9" fillId="5" borderId="10" xfId="1" applyNumberFormat="1" applyFont="1" applyFill="1" applyBorder="1" applyAlignment="1">
      <alignment horizontal="center" wrapText="1"/>
    </xf>
    <xf numFmtId="42" fontId="9" fillId="5" borderId="5" xfId="1" applyNumberFormat="1" applyFont="1" applyFill="1" applyBorder="1" applyAlignment="1">
      <alignment horizontal="center" wrapText="1"/>
    </xf>
    <xf numFmtId="42" fontId="9" fillId="5" borderId="7" xfId="1" applyNumberFormat="1" applyFont="1" applyFill="1" applyBorder="1" applyAlignment="1">
      <alignment horizontal="center" wrapText="1"/>
    </xf>
    <xf numFmtId="164" fontId="9" fillId="5" borderId="0" xfId="1" applyNumberFormat="1" applyFont="1" applyFill="1" applyAlignment="1">
      <alignment horizontal="center" wrapText="1"/>
    </xf>
    <xf numFmtId="42" fontId="9" fillId="5" borderId="3" xfId="1" applyNumberFormat="1" applyFont="1" applyFill="1" applyBorder="1" applyAlignment="1">
      <alignment horizontal="center" wrapText="1"/>
    </xf>
    <xf numFmtId="42" fontId="9" fillId="5" borderId="0" xfId="1" applyNumberFormat="1" applyFont="1" applyFill="1" applyAlignment="1">
      <alignment horizontal="center" wrapText="1"/>
    </xf>
    <xf numFmtId="42" fontId="9" fillId="5" borderId="10" xfId="1" applyNumberFormat="1" applyFont="1" applyFill="1" applyBorder="1" applyAlignment="1">
      <alignment horizontal="center" wrapText="1"/>
    </xf>
    <xf numFmtId="0" fontId="9" fillId="5" borderId="3" xfId="1" applyFont="1" applyFill="1" applyBorder="1" applyAlignment="1">
      <alignment horizontal="right"/>
    </xf>
    <xf numFmtId="0" fontId="9" fillId="5" borderId="10" xfId="1" applyFont="1" applyFill="1" applyBorder="1" applyAlignment="1">
      <alignment horizontal="center" vertical="center" wrapText="1"/>
    </xf>
    <xf numFmtId="1" fontId="9" fillId="5" borderId="26" xfId="1" applyNumberFormat="1" applyFont="1" applyFill="1" applyBorder="1" applyAlignment="1">
      <alignment horizontal="center" vertical="center" wrapText="1"/>
    </xf>
    <xf numFmtId="44" fontId="9" fillId="5" borderId="27" xfId="1" applyNumberFormat="1" applyFont="1" applyFill="1" applyBorder="1" applyAlignment="1">
      <alignment horizontal="center" vertical="center" wrapText="1"/>
    </xf>
    <xf numFmtId="44" fontId="9" fillId="5" borderId="23" xfId="1" applyNumberFormat="1" applyFont="1" applyFill="1" applyBorder="1" applyAlignment="1">
      <alignment horizontal="center" vertical="center" wrapText="1"/>
    </xf>
    <xf numFmtId="1" fontId="8" fillId="0" borderId="0" xfId="1" applyNumberFormat="1" applyFont="1" applyFill="1"/>
    <xf numFmtId="49" fontId="9" fillId="5" borderId="26" xfId="1" applyNumberFormat="1" applyFont="1" applyFill="1" applyBorder="1" applyAlignment="1">
      <alignment horizontal="left"/>
    </xf>
    <xf numFmtId="42" fontId="9" fillId="5" borderId="22" xfId="1" applyNumberFormat="1" applyFont="1" applyFill="1" applyBorder="1" applyAlignment="1">
      <alignment horizontal="center" wrapText="1"/>
    </xf>
    <xf numFmtId="166" fontId="9" fillId="5" borderId="22" xfId="1" applyNumberFormat="1" applyFont="1" applyFill="1" applyBorder="1" applyAlignment="1">
      <alignment horizontal="center" wrapText="1"/>
    </xf>
    <xf numFmtId="42" fontId="9" fillId="5" borderId="23" xfId="1" applyNumberFormat="1" applyFont="1" applyFill="1" applyBorder="1" applyAlignment="1">
      <alignment horizontal="center"/>
    </xf>
    <xf numFmtId="0" fontId="12" fillId="5" borderId="31" xfId="1" applyFont="1" applyFill="1" applyBorder="1"/>
    <xf numFmtId="0" fontId="9" fillId="5" borderId="26" xfId="1" applyFont="1" applyFill="1" applyBorder="1" applyAlignment="1">
      <alignment horizontal="right"/>
    </xf>
    <xf numFmtId="0" fontId="9" fillId="5" borderId="35" xfId="1" applyFont="1" applyFill="1" applyBorder="1" applyAlignment="1">
      <alignment horizontal="right"/>
    </xf>
    <xf numFmtId="0" fontId="9" fillId="5" borderId="32" xfId="1" applyFont="1" applyFill="1" applyBorder="1" applyAlignment="1">
      <alignment horizontal="center"/>
    </xf>
    <xf numFmtId="0" fontId="9" fillId="5" borderId="33" xfId="1" applyFont="1" applyFill="1" applyBorder="1" applyAlignment="1">
      <alignment horizontal="center"/>
    </xf>
    <xf numFmtId="0" fontId="9" fillId="5" borderId="34" xfId="1" applyFont="1" applyFill="1" applyBorder="1" applyAlignment="1">
      <alignment horizontal="center"/>
    </xf>
    <xf numFmtId="49" fontId="8" fillId="0" borderId="26" xfId="1" applyNumberFormat="1" applyFont="1" applyFill="1" applyBorder="1"/>
    <xf numFmtId="42" fontId="8" fillId="0" borderId="22" xfId="1" applyNumberFormat="1" applyFont="1" applyFill="1" applyBorder="1"/>
    <xf numFmtId="166" fontId="8" fillId="0" borderId="22" xfId="1" applyNumberFormat="1" applyFont="1" applyFill="1" applyBorder="1"/>
    <xf numFmtId="42" fontId="8" fillId="0" borderId="23" xfId="1" applyNumberFormat="1" applyFont="1" applyFill="1" applyBorder="1"/>
    <xf numFmtId="49" fontId="12" fillId="0" borderId="35" xfId="1" applyNumberFormat="1" applyFont="1" applyFill="1" applyBorder="1"/>
    <xf numFmtId="42" fontId="12" fillId="0" borderId="37" xfId="1" applyNumberFormat="1" applyFont="1" applyFill="1" applyBorder="1"/>
    <xf numFmtId="166" fontId="12" fillId="0" borderId="36" xfId="1" applyNumberFormat="1" applyFont="1" applyFill="1" applyBorder="1"/>
    <xf numFmtId="167" fontId="8" fillId="0" borderId="22" xfId="2" applyNumberFormat="1" applyFont="1" applyFill="1" applyBorder="1"/>
    <xf numFmtId="168" fontId="8" fillId="0" borderId="22" xfId="1" applyNumberFormat="1" applyFont="1" applyFill="1" applyBorder="1"/>
    <xf numFmtId="167" fontId="8" fillId="0" borderId="23" xfId="2" applyNumberFormat="1" applyFont="1" applyFill="1" applyBorder="1"/>
    <xf numFmtId="169" fontId="8" fillId="0" borderId="22" xfId="2" applyNumberFormat="1" applyFont="1" applyFill="1" applyBorder="1"/>
    <xf numFmtId="169" fontId="8" fillId="0" borderId="23" xfId="2" applyNumberFormat="1" applyFont="1" applyFill="1" applyBorder="1"/>
    <xf numFmtId="169" fontId="8" fillId="0" borderId="22" xfId="1" applyNumberFormat="1" applyFont="1" applyFill="1" applyBorder="1"/>
    <xf numFmtId="165" fontId="8" fillId="0" borderId="23" xfId="2" applyNumberFormat="1" applyFont="1" applyFill="1" applyBorder="1"/>
    <xf numFmtId="44" fontId="8" fillId="0" borderId="36" xfId="2" applyFont="1" applyFill="1" applyBorder="1"/>
    <xf numFmtId="44" fontId="8" fillId="0" borderId="37" xfId="2" applyFont="1" applyFill="1" applyBorder="1"/>
    <xf numFmtId="42" fontId="11" fillId="0" borderId="9" xfId="0" applyNumberFormat="1" applyFont="1" applyBorder="1" applyAlignment="1">
      <alignment horizontal="center" wrapText="1"/>
    </xf>
    <xf numFmtId="164" fontId="11" fillId="0" borderId="10" xfId="0" applyNumberFormat="1" applyFont="1" applyBorder="1" applyAlignment="1">
      <alignment horizontal="center" wrapText="1"/>
    </xf>
    <xf numFmtId="42" fontId="11" fillId="0" borderId="8" xfId="0" applyNumberFormat="1" applyFont="1" applyBorder="1" applyAlignment="1">
      <alignment horizontal="center" wrapText="1"/>
    </xf>
    <xf numFmtId="164" fontId="11" fillId="0" borderId="9" xfId="0" applyNumberFormat="1" applyFont="1" applyBorder="1" applyAlignment="1">
      <alignment horizontal="center" wrapText="1"/>
    </xf>
    <xf numFmtId="42" fontId="12" fillId="0" borderId="19" xfId="0" applyNumberFormat="1" applyFont="1" applyBorder="1" applyAlignment="1">
      <alignment wrapText="1"/>
    </xf>
    <xf numFmtId="42" fontId="12" fillId="0" borderId="20" xfId="0" applyNumberFormat="1" applyFont="1" applyBorder="1" applyAlignment="1">
      <alignment wrapText="1"/>
    </xf>
    <xf numFmtId="42" fontId="12" fillId="0" borderId="21" xfId="0" applyNumberFormat="1" applyFont="1" applyBorder="1" applyAlignment="1">
      <alignment wrapText="1"/>
    </xf>
    <xf numFmtId="0" fontId="8" fillId="0" borderId="24" xfId="0" applyFont="1" applyBorder="1" applyAlignment="1">
      <alignment wrapText="1"/>
    </xf>
    <xf numFmtId="49" fontId="19" fillId="0" borderId="19" xfId="0" applyNumberFormat="1" applyFont="1" applyBorder="1"/>
    <xf numFmtId="42" fontId="8" fillId="0" borderId="0" xfId="1" applyNumberFormat="1" applyFont="1" applyFill="1" applyAlignment="1">
      <alignment horizontal="right" wrapText="1"/>
    </xf>
    <xf numFmtId="42" fontId="8" fillId="0" borderId="3" xfId="1" applyNumberFormat="1" applyFont="1" applyFill="1" applyBorder="1" applyAlignment="1">
      <alignment horizontal="right" wrapText="1"/>
    </xf>
    <xf numFmtId="42" fontId="8" fillId="0" borderId="0" xfId="0" applyNumberFormat="1" applyFont="1" applyAlignment="1">
      <alignment horizontal="right" wrapText="1"/>
    </xf>
    <xf numFmtId="42" fontId="8" fillId="0" borderId="10" xfId="0" applyNumberFormat="1" applyFont="1" applyBorder="1" applyAlignment="1">
      <alignment horizontal="right" wrapText="1"/>
    </xf>
    <xf numFmtId="42" fontId="12" fillId="0" borderId="19" xfId="0" applyNumberFormat="1" applyFont="1" applyBorder="1" applyAlignment="1">
      <alignment horizontal="right" wrapText="1"/>
    </xf>
    <xf numFmtId="42" fontId="12" fillId="0" borderId="20" xfId="0" applyNumberFormat="1" applyFont="1" applyBorder="1" applyAlignment="1">
      <alignment horizontal="right" wrapText="1"/>
    </xf>
    <xf numFmtId="42" fontId="12" fillId="0" borderId="21" xfId="0" applyNumberFormat="1" applyFont="1" applyBorder="1" applyAlignment="1">
      <alignment horizontal="right" wrapText="1"/>
    </xf>
    <xf numFmtId="42" fontId="8" fillId="0" borderId="0" xfId="1" applyNumberFormat="1" applyFont="1" applyFill="1"/>
    <xf numFmtId="42" fontId="8" fillId="0" borderId="10" xfId="1" applyNumberFormat="1" applyFont="1" applyFill="1" applyBorder="1"/>
    <xf numFmtId="0" fontId="11" fillId="0" borderId="25" xfId="1" applyFont="1" applyFill="1" applyBorder="1" applyAlignment="1">
      <alignment horizontal="right"/>
    </xf>
    <xf numFmtId="0" fontId="11" fillId="0" borderId="39" xfId="1" applyFont="1" applyFill="1" applyBorder="1" applyAlignment="1">
      <alignment horizontal="right"/>
    </xf>
    <xf numFmtId="0" fontId="9" fillId="5" borderId="0" xfId="1" applyFont="1" applyFill="1" applyAlignment="1">
      <alignment horizontal="center" vertical="center" wrapText="1"/>
    </xf>
    <xf numFmtId="1" fontId="8" fillId="2" borderId="0" xfId="1" applyNumberFormat="1" applyFont="1"/>
    <xf numFmtId="1" fontId="8" fillId="2" borderId="10" xfId="1" applyNumberFormat="1" applyFont="1" applyBorder="1"/>
    <xf numFmtId="164" fontId="4" fillId="2" borderId="20" xfId="1" applyNumberFormat="1" applyBorder="1"/>
    <xf numFmtId="49" fontId="16" fillId="5" borderId="3" xfId="0" applyNumberFormat="1" applyFont="1" applyFill="1" applyBorder="1"/>
    <xf numFmtId="0" fontId="16" fillId="5" borderId="40" xfId="0" applyFont="1" applyFill="1" applyBorder="1" applyAlignment="1">
      <alignment horizontal="center" wrapText="1"/>
    </xf>
    <xf numFmtId="165" fontId="16" fillId="5" borderId="40" xfId="0" applyNumberFormat="1" applyFont="1" applyFill="1" applyBorder="1" applyAlignment="1">
      <alignment horizontal="center" wrapText="1"/>
    </xf>
    <xf numFmtId="0" fontId="8" fillId="0" borderId="41" xfId="0" applyFont="1" applyBorder="1" applyAlignment="1">
      <alignment wrapText="1"/>
    </xf>
    <xf numFmtId="0" fontId="8" fillId="0" borderId="24" xfId="0" applyFont="1" applyBorder="1" applyAlignment="1">
      <alignment horizontal="left" vertical="top" wrapText="1"/>
    </xf>
    <xf numFmtId="49" fontId="19" fillId="0" borderId="38" xfId="0" applyNumberFormat="1" applyFont="1" applyBorder="1" applyAlignment="1">
      <alignment wrapText="1"/>
    </xf>
    <xf numFmtId="49" fontId="7" fillId="5" borderId="1" xfId="0" applyNumberFormat="1" applyFont="1" applyFill="1" applyBorder="1" applyAlignment="1">
      <alignment vertical="center"/>
    </xf>
    <xf numFmtId="49" fontId="7" fillId="5" borderId="2" xfId="0" applyNumberFormat="1" applyFont="1" applyFill="1" applyBorder="1" applyAlignment="1">
      <alignment vertical="center"/>
    </xf>
    <xf numFmtId="49" fontId="7" fillId="5" borderId="15" xfId="0" applyNumberFormat="1" applyFont="1" applyFill="1" applyBorder="1" applyAlignment="1">
      <alignment vertical="center"/>
    </xf>
    <xf numFmtId="5" fontId="18" fillId="0" borderId="24" xfId="0" applyNumberFormat="1" applyFont="1" applyBorder="1"/>
    <xf numFmtId="5" fontId="19" fillId="0" borderId="38" xfId="0" applyNumberFormat="1" applyFont="1" applyBorder="1"/>
    <xf numFmtId="0" fontId="21" fillId="6" borderId="15" xfId="1" applyFont="1" applyFill="1" applyBorder="1" applyAlignment="1">
      <alignment vertical="center"/>
    </xf>
    <xf numFmtId="0" fontId="9" fillId="5" borderId="3" xfId="1" applyFont="1" applyFill="1" applyBorder="1" applyAlignment="1">
      <alignment wrapText="1"/>
    </xf>
    <xf numFmtId="9" fontId="9" fillId="5" borderId="0" xfId="1" applyNumberFormat="1" applyFont="1" applyFill="1" applyAlignment="1">
      <alignment horizontal="left" wrapText="1"/>
    </xf>
    <xf numFmtId="0" fontId="9" fillId="5" borderId="0" xfId="1" applyFont="1" applyFill="1" applyAlignment="1">
      <alignment horizontal="left" wrapText="1"/>
    </xf>
    <xf numFmtId="9" fontId="9" fillId="5" borderId="10" xfId="1" quotePrefix="1" applyNumberFormat="1" applyFont="1" applyFill="1" applyBorder="1" applyAlignment="1">
      <alignment horizontal="left" wrapText="1"/>
    </xf>
    <xf numFmtId="5" fontId="18" fillId="3" borderId="24" xfId="0" applyNumberFormat="1" applyFont="1" applyFill="1" applyBorder="1"/>
    <xf numFmtId="0" fontId="4" fillId="0" borderId="0" xfId="1" applyFill="1"/>
    <xf numFmtId="49" fontId="7" fillId="5" borderId="3" xfId="0" applyNumberFormat="1" applyFont="1" applyFill="1" applyBorder="1" applyAlignment="1">
      <alignment vertical="center"/>
    </xf>
    <xf numFmtId="49" fontId="7" fillId="5" borderId="0" xfId="0" applyNumberFormat="1" applyFont="1" applyFill="1" applyAlignment="1">
      <alignment vertical="center"/>
    </xf>
    <xf numFmtId="164" fontId="8" fillId="2" borderId="42" xfId="1" applyNumberFormat="1" applyFont="1" applyBorder="1" applyAlignment="1">
      <alignment wrapText="1"/>
    </xf>
    <xf numFmtId="164" fontId="8" fillId="2" borderId="43" xfId="1" applyNumberFormat="1" applyFont="1" applyBorder="1" applyAlignment="1">
      <alignment wrapText="1"/>
    </xf>
    <xf numFmtId="164" fontId="8" fillId="2" borderId="44" xfId="1" applyNumberFormat="1" applyFont="1" applyBorder="1" applyAlignment="1">
      <alignment wrapText="1"/>
    </xf>
    <xf numFmtId="49" fontId="8" fillId="2" borderId="17" xfId="1" applyNumberFormat="1" applyFont="1" applyBorder="1" applyAlignment="1">
      <alignment wrapText="1"/>
    </xf>
    <xf numFmtId="49" fontId="7" fillId="5" borderId="31" xfId="1" applyNumberFormat="1" applyFont="1" applyFill="1" applyBorder="1" applyAlignment="1">
      <alignment vertical="center"/>
    </xf>
    <xf numFmtId="49" fontId="8" fillId="2" borderId="45" xfId="1" applyNumberFormat="1" applyFont="1" applyBorder="1" applyAlignment="1">
      <alignment wrapText="1"/>
    </xf>
    <xf numFmtId="0" fontId="8" fillId="2" borderId="43" xfId="1" applyFont="1" applyBorder="1" applyAlignment="1">
      <alignment wrapText="1"/>
    </xf>
    <xf numFmtId="0" fontId="8" fillId="2" borderId="17" xfId="1" applyFont="1" applyBorder="1" applyAlignment="1">
      <alignment wrapText="1"/>
    </xf>
    <xf numFmtId="0" fontId="8" fillId="2" borderId="45" xfId="1" applyFont="1" applyBorder="1" applyAlignment="1">
      <alignment wrapText="1"/>
    </xf>
    <xf numFmtId="49" fontId="8" fillId="2" borderId="46" xfId="1" applyNumberFormat="1" applyFont="1" applyBorder="1" applyAlignment="1">
      <alignment wrapText="1"/>
    </xf>
    <xf numFmtId="49" fontId="8" fillId="2" borderId="43" xfId="1" applyNumberFormat="1" applyFont="1" applyBorder="1" applyAlignment="1">
      <alignment horizontal="right"/>
    </xf>
    <xf numFmtId="49" fontId="8" fillId="2" borderId="45" xfId="1" applyNumberFormat="1" applyFont="1" applyBorder="1" applyAlignment="1">
      <alignment horizontal="right"/>
    </xf>
    <xf numFmtId="49" fontId="8" fillId="2" borderId="42" xfId="1" applyNumberFormat="1" applyFont="1" applyBorder="1" applyAlignment="1">
      <alignment horizontal="right"/>
    </xf>
    <xf numFmtId="0" fontId="8" fillId="2" borderId="7" xfId="1" applyFont="1" applyBorder="1" applyAlignment="1">
      <alignment wrapText="1"/>
    </xf>
    <xf numFmtId="164" fontId="4" fillId="2" borderId="43" xfId="1" applyNumberFormat="1" applyBorder="1"/>
    <xf numFmtId="164" fontId="4" fillId="2" borderId="44" xfId="1" applyNumberFormat="1" applyBorder="1"/>
    <xf numFmtId="49" fontId="8" fillId="0" borderId="47" xfId="1" applyNumberFormat="1" applyFont="1" applyFill="1" applyBorder="1"/>
    <xf numFmtId="42" fontId="8" fillId="0" borderId="5" xfId="1" applyNumberFormat="1" applyFont="1" applyFill="1" applyBorder="1"/>
    <xf numFmtId="166" fontId="8" fillId="0" borderId="4" xfId="1" applyNumberFormat="1" applyFont="1" applyFill="1" applyBorder="1"/>
    <xf numFmtId="167" fontId="8" fillId="2" borderId="0" xfId="2" applyNumberFormat="1" applyFont="1"/>
    <xf numFmtId="169" fontId="8" fillId="2" borderId="0" xfId="2" applyNumberFormat="1" applyFont="1"/>
    <xf numFmtId="44" fontId="8" fillId="2" borderId="0" xfId="2" applyFont="1"/>
    <xf numFmtId="49" fontId="13" fillId="2" borderId="0" xfId="1" applyNumberFormat="1" applyFont="1"/>
    <xf numFmtId="0" fontId="4" fillId="2" borderId="0" xfId="1"/>
    <xf numFmtId="49" fontId="7" fillId="5" borderId="1" xfId="1" applyNumberFormat="1" applyFont="1" applyFill="1" applyBorder="1" applyAlignment="1">
      <alignment vertical="center"/>
    </xf>
    <xf numFmtId="0" fontId="8" fillId="6" borderId="2" xfId="1" applyFont="1" applyFill="1" applyBorder="1" applyAlignment="1">
      <alignment vertical="center"/>
    </xf>
    <xf numFmtId="0" fontId="8" fillId="6" borderId="15" xfId="1" applyFont="1" applyFill="1" applyBorder="1" applyAlignment="1">
      <alignment vertical="center"/>
    </xf>
    <xf numFmtId="42" fontId="9" fillId="5" borderId="1" xfId="1" applyNumberFormat="1" applyFont="1" applyFill="1" applyBorder="1" applyAlignment="1">
      <alignment horizontal="center" wrapText="1"/>
    </xf>
    <xf numFmtId="42" fontId="9" fillId="5" borderId="2" xfId="1" applyNumberFormat="1" applyFont="1" applyFill="1" applyBorder="1" applyAlignment="1">
      <alignment horizontal="center" wrapText="1"/>
    </xf>
    <xf numFmtId="42" fontId="9" fillId="5" borderId="15" xfId="1" applyNumberFormat="1" applyFont="1" applyFill="1" applyBorder="1" applyAlignment="1">
      <alignment horizontal="center" wrapText="1"/>
    </xf>
    <xf numFmtId="49" fontId="13" fillId="2" borderId="2" xfId="1" applyNumberFormat="1" applyFont="1" applyBorder="1"/>
    <xf numFmtId="0" fontId="4" fillId="2" borderId="2" xfId="1" applyBorder="1"/>
    <xf numFmtId="42" fontId="9" fillId="5" borderId="16" xfId="1" applyNumberFormat="1" applyFont="1" applyFill="1" applyBorder="1" applyAlignment="1">
      <alignment horizontal="center" wrapText="1"/>
    </xf>
    <xf numFmtId="42" fontId="9" fillId="5" borderId="7" xfId="1" applyNumberFormat="1" applyFont="1" applyFill="1" applyBorder="1" applyAlignment="1">
      <alignment horizontal="center" wrapText="1"/>
    </xf>
    <xf numFmtId="42" fontId="9" fillId="5" borderId="6" xfId="1" applyNumberFormat="1" applyFont="1" applyFill="1" applyBorder="1" applyAlignment="1">
      <alignment horizontal="center" wrapText="1"/>
    </xf>
    <xf numFmtId="0" fontId="6" fillId="3" borderId="0" xfId="1" applyFont="1" applyFill="1" applyAlignment="1">
      <alignment horizontal="left" vertical="top" wrapText="1"/>
    </xf>
    <xf numFmtId="49" fontId="13" fillId="2" borderId="0" xfId="1" applyNumberFormat="1" applyFont="1" applyAlignment="1">
      <alignment wrapText="1"/>
    </xf>
    <xf numFmtId="0" fontId="4" fillId="2" borderId="0" xfId="1" applyAlignment="1">
      <alignment wrapText="1"/>
    </xf>
    <xf numFmtId="0" fontId="12" fillId="4" borderId="11" xfId="1" applyFont="1" applyFill="1" applyBorder="1"/>
    <xf numFmtId="0" fontId="4" fillId="4" borderId="8" xfId="1" applyFill="1" applyBorder="1"/>
    <xf numFmtId="0" fontId="4" fillId="4" borderId="12" xfId="1" applyFill="1" applyBorder="1"/>
    <xf numFmtId="0" fontId="12" fillId="4" borderId="3" xfId="1" applyFont="1" applyFill="1" applyBorder="1"/>
    <xf numFmtId="0" fontId="4" fillId="4" borderId="0" xfId="1" applyFill="1"/>
    <xf numFmtId="0" fontId="4" fillId="4" borderId="10" xfId="1" applyFill="1" applyBorder="1"/>
    <xf numFmtId="2" fontId="13" fillId="2" borderId="2" xfId="1" applyNumberFormat="1" applyFont="1" applyBorder="1"/>
    <xf numFmtId="0" fontId="13" fillId="2" borderId="2" xfId="1" applyFont="1" applyBorder="1"/>
    <xf numFmtId="42" fontId="9" fillId="5" borderId="5" xfId="1" applyNumberFormat="1" applyFont="1" applyFill="1" applyBorder="1" applyAlignment="1">
      <alignment horizontal="center" vertical="center" wrapText="1"/>
    </xf>
    <xf numFmtId="0" fontId="4" fillId="6" borderId="6" xfId="1" applyFill="1" applyBorder="1" applyAlignment="1">
      <alignment horizontal="center" vertical="center" wrapText="1"/>
    </xf>
    <xf numFmtId="164" fontId="9" fillId="5" borderId="5" xfId="1" applyNumberFormat="1" applyFont="1" applyFill="1" applyBorder="1" applyAlignment="1">
      <alignment horizontal="center" vertical="center" wrapText="1"/>
    </xf>
    <xf numFmtId="164" fontId="4" fillId="6" borderId="6" xfId="1" applyNumberFormat="1" applyFill="1" applyBorder="1" applyAlignment="1">
      <alignment horizontal="center" vertical="center" wrapText="1"/>
    </xf>
    <xf numFmtId="0" fontId="10" fillId="4" borderId="11" xfId="1" applyFont="1" applyFill="1" applyBorder="1" applyAlignment="1">
      <alignment horizontal="left"/>
    </xf>
    <xf numFmtId="0" fontId="10" fillId="4" borderId="3" xfId="1" applyFont="1" applyFill="1" applyBorder="1" applyAlignment="1">
      <alignment horizontal="left"/>
    </xf>
    <xf numFmtId="0" fontId="13" fillId="2" borderId="0" xfId="1" applyFont="1" applyAlignment="1">
      <alignment horizontal="left" vertical="center" wrapText="1" indent="2"/>
    </xf>
    <xf numFmtId="0" fontId="8" fillId="2" borderId="0" xfId="1" applyFont="1" applyAlignment="1">
      <alignment horizontal="left" wrapText="1" indent="2"/>
    </xf>
    <xf numFmtId="0" fontId="13" fillId="2" borderId="0" xfId="1" applyFont="1"/>
    <xf numFmtId="0" fontId="13" fillId="2" borderId="0" xfId="1" applyFont="1" applyAlignment="1">
      <alignment vertical="center"/>
    </xf>
    <xf numFmtId="0" fontId="8" fillId="2" borderId="0" xfId="1" applyFont="1"/>
    <xf numFmtId="49" fontId="13" fillId="2" borderId="2" xfId="1" applyNumberFormat="1" applyFont="1" applyBorder="1" applyAlignment="1">
      <alignment vertical="center"/>
    </xf>
    <xf numFmtId="0" fontId="13" fillId="2" borderId="2" xfId="1" applyFont="1" applyBorder="1" applyAlignment="1">
      <alignment vertical="center"/>
    </xf>
    <xf numFmtId="49" fontId="13" fillId="2" borderId="0" xfId="1" applyNumberFormat="1" applyFont="1" applyAlignment="1">
      <alignment vertical="center" wrapText="1"/>
    </xf>
    <xf numFmtId="0" fontId="13" fillId="2" borderId="0" xfId="1" applyFont="1" applyAlignment="1">
      <alignment vertical="center" wrapText="1"/>
    </xf>
    <xf numFmtId="0" fontId="8" fillId="2" borderId="2" xfId="1" applyFont="1" applyBorder="1" applyAlignment="1">
      <alignment vertical="center"/>
    </xf>
    <xf numFmtId="0" fontId="8" fillId="2" borderId="0" xfId="1" applyFont="1" applyAlignment="1">
      <alignment vertical="center"/>
    </xf>
    <xf numFmtId="0" fontId="8" fillId="2" borderId="0" xfId="1" applyFont="1" applyAlignment="1">
      <alignment wrapText="1"/>
    </xf>
    <xf numFmtId="49" fontId="26" fillId="7" borderId="17" xfId="0" applyNumberFormat="1" applyFont="1" applyFill="1" applyBorder="1" applyAlignment="1">
      <alignment horizontal="center" vertical="center" wrapText="1"/>
    </xf>
    <xf numFmtId="0" fontId="13" fillId="2" borderId="0" xfId="1" applyFont="1" applyAlignment="1">
      <alignment wrapText="1"/>
    </xf>
    <xf numFmtId="0" fontId="21" fillId="6" borderId="2" xfId="1" applyFont="1" applyFill="1" applyBorder="1" applyAlignment="1">
      <alignment vertical="center"/>
    </xf>
    <xf numFmtId="0" fontId="7" fillId="5" borderId="1" xfId="1" applyFont="1" applyFill="1" applyBorder="1" applyAlignment="1">
      <alignment horizontal="left" vertical="center" wrapText="1"/>
    </xf>
    <xf numFmtId="0" fontId="7" fillId="5" borderId="2" xfId="1" applyFont="1" applyFill="1" applyBorder="1" applyAlignment="1">
      <alignment horizontal="left" vertical="center" wrapText="1"/>
    </xf>
    <xf numFmtId="0" fontId="7" fillId="5" borderId="15" xfId="1" applyFont="1" applyFill="1" applyBorder="1" applyAlignment="1">
      <alignment horizontal="left" vertical="center" wrapText="1"/>
    </xf>
    <xf numFmtId="0" fontId="4" fillId="2" borderId="2" xfId="1" applyBorder="1" applyAlignment="1">
      <alignment vertical="center"/>
    </xf>
    <xf numFmtId="49" fontId="7" fillId="5" borderId="0" xfId="1" applyNumberFormat="1" applyFont="1" applyFill="1" applyAlignment="1">
      <alignment vertical="center"/>
    </xf>
    <xf numFmtId="0" fontId="12" fillId="5" borderId="0" xfId="1" applyFont="1" applyFill="1" applyAlignment="1">
      <alignment vertical="center"/>
    </xf>
    <xf numFmtId="49" fontId="7" fillId="5" borderId="28" xfId="1" applyNumberFormat="1" applyFont="1" applyFill="1" applyBorder="1" applyAlignment="1">
      <alignment vertical="center"/>
    </xf>
    <xf numFmtId="0" fontId="22" fillId="6" borderId="29" xfId="1" applyFont="1" applyFill="1" applyBorder="1" applyAlignment="1">
      <alignment vertical="center"/>
    </xf>
    <xf numFmtId="0" fontId="22" fillId="6" borderId="30" xfId="1" applyFont="1" applyFill="1" applyBorder="1" applyAlignment="1">
      <alignment vertical="center"/>
    </xf>
    <xf numFmtId="49" fontId="13" fillId="0" borderId="2" xfId="1" applyNumberFormat="1" applyFont="1" applyFill="1" applyBorder="1" applyAlignment="1">
      <alignment vertical="center"/>
    </xf>
    <xf numFmtId="0" fontId="8" fillId="0" borderId="2" xfId="1" applyFont="1" applyFill="1" applyBorder="1" applyAlignment="1">
      <alignment vertical="center"/>
    </xf>
  </cellXfs>
  <cellStyles count="15">
    <cellStyle name="Currency 2" xfId="2" xr:uid="{4C765922-DF03-4B22-95DC-C7B85E167547}"/>
    <cellStyle name="Normal" xfId="0" builtinId="0"/>
    <cellStyle name="Normal 2" xfId="1" xr:uid="{479F76BD-8095-4B08-9D3A-EAB007C816B9}"/>
    <cellStyle name="Normal 2 2" xfId="10" xr:uid="{82EC5169-5C32-40B9-98CB-3F94E9246EBA}"/>
    <cellStyle name="Normal 2 2 2" xfId="14" xr:uid="{EC17F8AA-4166-4624-98F2-BD2DEF5DE7E8}"/>
    <cellStyle name="Normal 2 3" xfId="11" xr:uid="{1B9E9D93-1B68-4DFF-86DE-ED3BEF5E339B}"/>
    <cellStyle name="Normal 3" xfId="3" xr:uid="{149BF627-DA16-4918-AAE1-85D7E6EADD9A}"/>
    <cellStyle name="Normal 3 2" xfId="13" xr:uid="{A4DD7335-0C64-4086-884F-5F6E26991938}"/>
    <cellStyle name="Normal 4" xfId="4" xr:uid="{411D0990-BB65-4151-9A28-E1460EC18219}"/>
    <cellStyle name="Normal 5" xfId="5" xr:uid="{DB38BA2D-98E4-4D18-B5B3-E9480273148E}"/>
    <cellStyle name="Normal 6" xfId="6" xr:uid="{B1A216FD-F628-42ED-9BF8-88D5D0FFFF47}"/>
    <cellStyle name="Normal 7" xfId="7" xr:uid="{3FEF05E2-4254-408E-96DE-A7BA849ED2EF}"/>
    <cellStyle name="Normal 8" xfId="8" xr:uid="{EB8A4609-BFD6-4C8F-B79D-1772F5BD39C7}"/>
    <cellStyle name="Normal 9" xfId="9" xr:uid="{F63D11FC-377E-40CB-9CEF-7BE0D087C780}"/>
    <cellStyle name="Percent 2" xfId="12" xr:uid="{333476AA-886E-48A2-AE4E-3FD9C9BDBDBA}"/>
  </cellStyles>
  <dxfs count="3">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89A4D-7C0D-4024-9CC4-0348EC09E3EF}">
  <sheetPr published="0">
    <tabColor theme="2"/>
  </sheetPr>
  <dimension ref="A1:H22"/>
  <sheetViews>
    <sheetView tabSelected="1" workbookViewId="0"/>
  </sheetViews>
  <sheetFormatPr defaultColWidth="12.5703125" defaultRowHeight="15.75"/>
  <cols>
    <col min="1" max="5" width="22.7109375" style="1" customWidth="1"/>
    <col min="6" max="6" width="12.5703125" style="1"/>
    <col min="7" max="8" width="12.5703125" style="3"/>
    <col min="9" max="16384" width="12.5703125" style="4"/>
  </cols>
  <sheetData>
    <row r="1" spans="1:6">
      <c r="F1" s="2">
        <v>46170</v>
      </c>
    </row>
    <row r="2" spans="1:6">
      <c r="A2" s="199" t="s">
        <v>139</v>
      </c>
      <c r="B2" s="199"/>
      <c r="C2" s="199"/>
      <c r="D2" s="199"/>
      <c r="E2" s="199"/>
    </row>
    <row r="3" spans="1:6">
      <c r="A3" s="199"/>
      <c r="B3" s="199"/>
      <c r="C3" s="199"/>
      <c r="D3" s="199"/>
      <c r="E3" s="199"/>
    </row>
    <row r="4" spans="1:6">
      <c r="A4" s="199"/>
      <c r="B4" s="199"/>
      <c r="C4" s="199"/>
      <c r="D4" s="199"/>
      <c r="E4" s="199"/>
    </row>
    <row r="5" spans="1:6">
      <c r="A5" s="199"/>
      <c r="B5" s="199"/>
      <c r="C5" s="199"/>
      <c r="D5" s="199"/>
      <c r="E5" s="199"/>
    </row>
    <row r="6" spans="1:6">
      <c r="A6" s="199"/>
      <c r="B6" s="199"/>
      <c r="C6" s="199"/>
      <c r="D6" s="199"/>
      <c r="E6" s="199"/>
    </row>
    <row r="7" spans="1:6">
      <c r="A7" s="199"/>
      <c r="B7" s="199"/>
      <c r="C7" s="199"/>
      <c r="D7" s="199"/>
      <c r="E7" s="199"/>
    </row>
    <row r="8" spans="1:6">
      <c r="A8" s="199"/>
      <c r="B8" s="199"/>
      <c r="C8" s="199"/>
      <c r="D8" s="199"/>
      <c r="E8" s="199"/>
    </row>
    <row r="9" spans="1:6">
      <c r="A9" s="199"/>
      <c r="B9" s="199"/>
      <c r="C9" s="199"/>
      <c r="D9" s="199"/>
      <c r="E9" s="199"/>
    </row>
    <row r="10" spans="1:6">
      <c r="A10" s="199"/>
      <c r="B10" s="199"/>
      <c r="C10" s="199"/>
      <c r="D10" s="199"/>
      <c r="E10" s="199"/>
    </row>
    <row r="11" spans="1:6">
      <c r="A11" s="199"/>
      <c r="B11" s="199"/>
      <c r="C11" s="199"/>
      <c r="D11" s="199"/>
      <c r="E11" s="199"/>
    </row>
    <row r="12" spans="1:6" ht="40.5" customHeight="1">
      <c r="A12" s="199"/>
      <c r="B12" s="199"/>
      <c r="C12" s="199"/>
      <c r="D12" s="199"/>
      <c r="E12" s="199"/>
    </row>
    <row r="13" spans="1:6">
      <c r="A13" s="199"/>
      <c r="B13" s="199"/>
      <c r="C13" s="199"/>
      <c r="D13" s="199"/>
      <c r="E13" s="199"/>
    </row>
    <row r="14" spans="1:6">
      <c r="A14" s="199"/>
      <c r="B14" s="199"/>
      <c r="C14" s="199"/>
      <c r="D14" s="199"/>
      <c r="E14" s="199"/>
    </row>
    <row r="15" spans="1:6">
      <c r="A15" s="199"/>
      <c r="B15" s="199"/>
      <c r="C15" s="199"/>
      <c r="D15" s="199"/>
      <c r="E15" s="199"/>
    </row>
    <row r="16" spans="1:6">
      <c r="A16" s="199"/>
      <c r="B16" s="199"/>
      <c r="C16" s="199"/>
      <c r="D16" s="199"/>
      <c r="E16" s="199"/>
    </row>
    <row r="17" spans="1:5">
      <c r="A17" s="199"/>
      <c r="B17" s="199"/>
      <c r="C17" s="199"/>
      <c r="D17" s="199"/>
      <c r="E17" s="199"/>
    </row>
    <row r="18" spans="1:5">
      <c r="A18" s="199"/>
      <c r="B18" s="199"/>
      <c r="C18" s="199"/>
      <c r="D18" s="199"/>
      <c r="E18" s="199"/>
    </row>
    <row r="19" spans="1:5">
      <c r="A19" s="199"/>
      <c r="B19" s="199"/>
      <c r="C19" s="199"/>
      <c r="D19" s="199"/>
      <c r="E19" s="199"/>
    </row>
    <row r="20" spans="1:5">
      <c r="A20" s="199"/>
      <c r="B20" s="199"/>
      <c r="C20" s="199"/>
      <c r="D20" s="199"/>
      <c r="E20" s="199"/>
    </row>
    <row r="21" spans="1:5">
      <c r="A21" s="199"/>
      <c r="B21" s="199"/>
      <c r="C21" s="199"/>
      <c r="D21" s="199"/>
      <c r="E21" s="199"/>
    </row>
    <row r="22" spans="1:5">
      <c r="A22" s="199"/>
      <c r="B22" s="199"/>
      <c r="C22" s="199"/>
      <c r="D22" s="199"/>
      <c r="E22" s="199"/>
    </row>
  </sheetData>
  <mergeCells count="1">
    <mergeCell ref="A2:E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AD2F4-F454-491B-BF5A-C9A81BBDBB89}">
  <sheetPr>
    <tabColor theme="9" tint="0.79998168889431442"/>
  </sheetPr>
  <dimension ref="A1:AC23"/>
  <sheetViews>
    <sheetView workbookViewId="0">
      <selection sqref="A1:E1"/>
    </sheetView>
  </sheetViews>
  <sheetFormatPr defaultColWidth="9.140625" defaultRowHeight="15.75"/>
  <cols>
    <col min="1" max="1" width="30.85546875" style="21" customWidth="1"/>
    <col min="2" max="2" width="13.28515625" style="22" customWidth="1"/>
    <col min="3" max="3" width="14.7109375" style="22" customWidth="1"/>
    <col min="4" max="4" width="11.42578125" style="22" customWidth="1"/>
    <col min="5" max="5" width="16" style="23" customWidth="1"/>
    <col min="6" max="7" width="10.42578125" style="5" bestFit="1" customWidth="1"/>
    <col min="8" max="8" width="36" style="5" customWidth="1"/>
    <col min="9" max="10" width="11.85546875" style="5" customWidth="1"/>
    <col min="11" max="11" width="12.85546875" style="22" customWidth="1"/>
    <col min="12" max="12" width="11.7109375" style="24" customWidth="1"/>
    <col min="13" max="13" width="12" style="24" customWidth="1"/>
    <col min="14" max="16" width="10.42578125" style="5" bestFit="1" customWidth="1"/>
    <col min="17" max="18" width="10.42578125" style="5" customWidth="1"/>
    <col min="19" max="22" width="10.42578125" style="5" bestFit="1" customWidth="1"/>
    <col min="23" max="16384" width="9.140625" style="4"/>
  </cols>
  <sheetData>
    <row r="1" spans="1:13" ht="33" customHeight="1">
      <c r="A1" s="188" t="s">
        <v>156</v>
      </c>
      <c r="B1" s="189"/>
      <c r="C1" s="189"/>
      <c r="D1" s="189"/>
      <c r="E1" s="189"/>
      <c r="H1" s="188" t="s">
        <v>43</v>
      </c>
      <c r="I1" s="189"/>
      <c r="J1" s="189"/>
      <c r="K1" s="189"/>
      <c r="L1" s="189"/>
      <c r="M1" s="189"/>
    </row>
    <row r="2" spans="1:13" ht="21" customHeight="1">
      <c r="A2" s="77"/>
      <c r="B2" s="78"/>
      <c r="C2" s="78"/>
      <c r="D2" s="210" t="s">
        <v>44</v>
      </c>
      <c r="E2" s="211"/>
      <c r="H2" s="77"/>
      <c r="I2" s="82"/>
      <c r="J2" s="83"/>
      <c r="K2" s="78"/>
      <c r="L2" s="212" t="s">
        <v>45</v>
      </c>
      <c r="M2" s="213"/>
    </row>
    <row r="3" spans="1:13" ht="25.5" customHeight="1">
      <c r="A3" s="77"/>
      <c r="B3" s="79" t="s">
        <v>136</v>
      </c>
      <c r="C3" s="79" t="s">
        <v>140</v>
      </c>
      <c r="D3" s="80" t="s">
        <v>46</v>
      </c>
      <c r="E3" s="81" t="s">
        <v>47</v>
      </c>
      <c r="H3" s="77"/>
      <c r="I3" s="79" t="s">
        <v>142</v>
      </c>
      <c r="J3" s="79" t="s">
        <v>141</v>
      </c>
      <c r="K3" s="79" t="s">
        <v>140</v>
      </c>
      <c r="L3" s="84" t="s">
        <v>48</v>
      </c>
      <c r="M3" s="81" t="s">
        <v>49</v>
      </c>
    </row>
    <row r="4" spans="1:13" s="5" customFormat="1">
      <c r="A4" s="214" t="s">
        <v>50</v>
      </c>
      <c r="B4" s="203"/>
      <c r="C4" s="203"/>
      <c r="D4" s="203"/>
      <c r="E4" s="204"/>
      <c r="H4" s="215" t="s">
        <v>50</v>
      </c>
      <c r="I4" s="206"/>
      <c r="J4" s="206"/>
      <c r="K4" s="206"/>
      <c r="L4" s="206"/>
      <c r="M4" s="207"/>
    </row>
    <row r="5" spans="1:13" s="5" customFormat="1">
      <c r="A5" s="6" t="s">
        <v>51</v>
      </c>
      <c r="B5" s="7">
        <v>833.68</v>
      </c>
      <c r="C5" s="7">
        <f>'Tuition &amp; Fees By College'!B55</f>
        <v>845.42</v>
      </c>
      <c r="D5" s="120">
        <f>C5-B5</f>
        <v>11.740000000000009</v>
      </c>
      <c r="E5" s="121">
        <f>D5/B5</f>
        <v>1.4082141828999148E-2</v>
      </c>
      <c r="H5" s="6" t="s">
        <v>51</v>
      </c>
      <c r="I5" s="7">
        <v>625</v>
      </c>
      <c r="J5" s="7">
        <v>736.2</v>
      </c>
      <c r="K5" s="122">
        <f>C5</f>
        <v>845.42</v>
      </c>
      <c r="L5" s="123">
        <f>(K5-I5)/I5</f>
        <v>0.35267199999999993</v>
      </c>
      <c r="M5" s="121">
        <f>(K5-J5)/J5</f>
        <v>0.14835642488454212</v>
      </c>
    </row>
    <row r="6" spans="1:13" s="5" customFormat="1">
      <c r="A6" s="6" t="s">
        <v>52</v>
      </c>
      <c r="B6" s="7">
        <v>438.13</v>
      </c>
      <c r="C6" s="7">
        <f>'Tuition &amp; Fees By College'!C55</f>
        <v>541.04444444444448</v>
      </c>
      <c r="D6" s="120">
        <f t="shared" ref="D6:D8" si="0">C6-B6</f>
        <v>102.91444444444448</v>
      </c>
      <c r="E6" s="121">
        <f t="shared" ref="E6:E8" si="1">D6/B6</f>
        <v>0.23489476740794851</v>
      </c>
      <c r="H6" s="6" t="s">
        <v>52</v>
      </c>
      <c r="I6" s="7">
        <v>362</v>
      </c>
      <c r="J6" s="7">
        <v>435.56</v>
      </c>
      <c r="K6" s="122">
        <f t="shared" ref="K6:K8" si="2">C6</f>
        <v>541.04444444444448</v>
      </c>
      <c r="L6" s="123">
        <f t="shared" ref="L6:L8" si="3">(K6-I6)/I6</f>
        <v>0.49459791282995713</v>
      </c>
      <c r="M6" s="121">
        <f t="shared" ref="M6:M8" si="4">(K6-J6)/J6</f>
        <v>0.24218120223263034</v>
      </c>
    </row>
    <row r="7" spans="1:13" s="5" customFormat="1">
      <c r="A7" s="6" t="s">
        <v>53</v>
      </c>
      <c r="B7" s="7">
        <v>1271.81</v>
      </c>
      <c r="C7" s="7">
        <f>'Tuition &amp; Fees By College'!D55</f>
        <v>1386.4644444444443</v>
      </c>
      <c r="D7" s="120">
        <f t="shared" si="0"/>
        <v>114.65444444444438</v>
      </c>
      <c r="E7" s="121">
        <f t="shared" si="1"/>
        <v>9.0150607751507211E-2</v>
      </c>
      <c r="H7" s="6" t="s">
        <v>53</v>
      </c>
      <c r="I7" s="7">
        <v>987</v>
      </c>
      <c r="J7" s="7">
        <v>1171.76</v>
      </c>
      <c r="K7" s="122">
        <f t="shared" si="2"/>
        <v>1386.4644444444443</v>
      </c>
      <c r="L7" s="123">
        <f t="shared" si="3"/>
        <v>0.40472588089609352</v>
      </c>
      <c r="M7" s="121">
        <f t="shared" si="4"/>
        <v>0.18323244046941722</v>
      </c>
    </row>
    <row r="8" spans="1:13" s="5" customFormat="1">
      <c r="A8" s="6" t="s">
        <v>54</v>
      </c>
      <c r="B8" s="8">
        <v>105.98416666666667</v>
      </c>
      <c r="C8" s="8">
        <f>'Tuition &amp; Fees By College'!E55</f>
        <v>115.53870370370369</v>
      </c>
      <c r="D8" s="120">
        <f t="shared" si="0"/>
        <v>9.5545370370370222</v>
      </c>
      <c r="E8" s="121">
        <f t="shared" si="1"/>
        <v>9.0150607751507114E-2</v>
      </c>
      <c r="H8" s="6" t="s">
        <v>54</v>
      </c>
      <c r="I8" s="8">
        <v>82</v>
      </c>
      <c r="J8" s="8">
        <v>97.646666666666661</v>
      </c>
      <c r="K8" s="122">
        <f t="shared" si="2"/>
        <v>115.53870370370369</v>
      </c>
      <c r="L8" s="123">
        <f t="shared" si="3"/>
        <v>0.409008581752484</v>
      </c>
      <c r="M8" s="121">
        <f t="shared" si="4"/>
        <v>0.18323244046941725</v>
      </c>
    </row>
    <row r="9" spans="1:13" s="5" customFormat="1">
      <c r="A9" s="202" t="s">
        <v>55</v>
      </c>
      <c r="B9" s="203"/>
      <c r="C9" s="203"/>
      <c r="D9" s="203"/>
      <c r="E9" s="204"/>
      <c r="H9" s="205" t="s">
        <v>55</v>
      </c>
      <c r="I9" s="206"/>
      <c r="J9" s="206"/>
      <c r="K9" s="206"/>
      <c r="L9" s="206"/>
      <c r="M9" s="207"/>
    </row>
    <row r="10" spans="1:13" s="5" customFormat="1">
      <c r="A10" s="6" t="s">
        <v>51</v>
      </c>
      <c r="B10" s="7">
        <v>1273.42</v>
      </c>
      <c r="C10" s="7">
        <f>'Tuition &amp; Fees By College'!F55</f>
        <v>1315.18</v>
      </c>
      <c r="D10" s="120">
        <f>C10-B10</f>
        <v>41.759999999999991</v>
      </c>
      <c r="E10" s="121">
        <f>D10/B10</f>
        <v>3.2793579494589366E-2</v>
      </c>
      <c r="H10" s="6" t="s">
        <v>51</v>
      </c>
      <c r="I10" s="7">
        <v>953</v>
      </c>
      <c r="J10" s="7">
        <v>1141.32</v>
      </c>
      <c r="K10" s="122">
        <f>C10</f>
        <v>1315.18</v>
      </c>
      <c r="L10" s="123">
        <f>(K10-I10)/I10</f>
        <v>0.38004197271773354</v>
      </c>
      <c r="M10" s="121">
        <f>(K10-J10)/J10</f>
        <v>0.15233238706059662</v>
      </c>
    </row>
    <row r="11" spans="1:13" s="5" customFormat="1">
      <c r="A11" s="6" t="s">
        <v>52</v>
      </c>
      <c r="B11" s="7">
        <v>720.61</v>
      </c>
      <c r="C11" s="7">
        <f>'Tuition &amp; Fees By College'!G55</f>
        <v>859.59090909090912</v>
      </c>
      <c r="D11" s="120">
        <f t="shared" ref="D11:D13" si="5">C11-B11</f>
        <v>138.98090909090911</v>
      </c>
      <c r="E11" s="121">
        <f t="shared" ref="E11:E13" si="6">D11/B11</f>
        <v>0.19286564034763479</v>
      </c>
      <c r="H11" s="6" t="s">
        <v>52</v>
      </c>
      <c r="I11" s="7">
        <v>606</v>
      </c>
      <c r="J11" s="7">
        <v>697.34</v>
      </c>
      <c r="K11" s="122">
        <f t="shared" ref="K11:K13" si="7">C11</f>
        <v>859.59090909090912</v>
      </c>
      <c r="L11" s="123">
        <f t="shared" ref="L11:L13" si="8">(K11-I11)/I11</f>
        <v>0.41846684668466849</v>
      </c>
      <c r="M11" s="121">
        <f t="shared" ref="M11:M13" si="9">(K11-J11)/J11</f>
        <v>0.23267116340796323</v>
      </c>
    </row>
    <row r="12" spans="1:13" s="5" customFormat="1">
      <c r="A12" s="6" t="s">
        <v>53</v>
      </c>
      <c r="B12" s="7">
        <v>1994.0300000000002</v>
      </c>
      <c r="C12" s="7">
        <f>'Tuition &amp; Fees By College'!H55</f>
        <v>2174.7709090909093</v>
      </c>
      <c r="D12" s="120">
        <f t="shared" si="5"/>
        <v>180.7409090909091</v>
      </c>
      <c r="E12" s="121">
        <f t="shared" si="6"/>
        <v>9.0641017984137193E-2</v>
      </c>
      <c r="H12" s="6" t="s">
        <v>53</v>
      </c>
      <c r="I12" s="7">
        <v>1559</v>
      </c>
      <c r="J12" s="7">
        <v>1838.66</v>
      </c>
      <c r="K12" s="122">
        <f t="shared" si="7"/>
        <v>2174.7709090909093</v>
      </c>
      <c r="L12" s="123">
        <f t="shared" si="8"/>
        <v>0.39497813283573402</v>
      </c>
      <c r="M12" s="121">
        <f t="shared" si="9"/>
        <v>0.18280209994828256</v>
      </c>
    </row>
    <row r="13" spans="1:13" s="5" customFormat="1">
      <c r="A13" s="6" t="s">
        <v>54</v>
      </c>
      <c r="B13" s="7">
        <v>166.16916666666668</v>
      </c>
      <c r="C13" s="7">
        <f>'Tuition &amp; Fees By College'!I55</f>
        <v>181.23090909090911</v>
      </c>
      <c r="D13" s="120">
        <f t="shared" si="5"/>
        <v>15.061742424242425</v>
      </c>
      <c r="E13" s="121">
        <f t="shared" si="6"/>
        <v>9.0641017984137193E-2</v>
      </c>
      <c r="H13" s="6" t="s">
        <v>54</v>
      </c>
      <c r="I13" s="7">
        <v>130</v>
      </c>
      <c r="J13" s="7">
        <v>153.22166666666669</v>
      </c>
      <c r="K13" s="122">
        <f t="shared" si="7"/>
        <v>181.23090909090911</v>
      </c>
      <c r="L13" s="123">
        <f t="shared" si="8"/>
        <v>0.39408391608391624</v>
      </c>
      <c r="M13" s="121">
        <f t="shared" si="9"/>
        <v>0.18280209994828242</v>
      </c>
    </row>
    <row r="14" spans="1:13" s="5" customFormat="1">
      <c r="A14" s="202" t="s">
        <v>56</v>
      </c>
      <c r="B14" s="203"/>
      <c r="C14" s="203"/>
      <c r="D14" s="203"/>
      <c r="E14" s="204"/>
      <c r="H14" s="205" t="s">
        <v>56</v>
      </c>
      <c r="I14" s="206"/>
      <c r="J14" s="206"/>
      <c r="K14" s="206"/>
      <c r="L14" s="206"/>
      <c r="M14" s="207"/>
    </row>
    <row r="15" spans="1:13" s="5" customFormat="1">
      <c r="A15" s="6" t="s">
        <v>51</v>
      </c>
      <c r="B15" s="7">
        <v>2003.84</v>
      </c>
      <c r="C15" s="7">
        <f>'Tuition &amp; Fees By College'!J55</f>
        <v>2077.46</v>
      </c>
      <c r="D15" s="120">
        <f>C15-B15</f>
        <v>73.620000000000118</v>
      </c>
      <c r="E15" s="121">
        <f>D15/B15</f>
        <v>3.6739460236346277E-2</v>
      </c>
      <c r="H15" s="6" t="s">
        <v>51</v>
      </c>
      <c r="I15" s="7">
        <v>1608</v>
      </c>
      <c r="J15" s="7">
        <v>1945.86</v>
      </c>
      <c r="K15" s="122">
        <f>C15</f>
        <v>2077.46</v>
      </c>
      <c r="L15" s="123">
        <f>(K15-I15)/I15</f>
        <v>0.29195273631840796</v>
      </c>
      <c r="M15" s="121">
        <f>(K15-J15)/J15</f>
        <v>6.7630764803223331E-2</v>
      </c>
    </row>
    <row r="16" spans="1:13" s="5" customFormat="1">
      <c r="A16" s="6" t="s">
        <v>52</v>
      </c>
      <c r="B16" s="7">
        <v>680.41</v>
      </c>
      <c r="C16" s="7">
        <f>'Tuition &amp; Fees By College'!K55</f>
        <v>894.90909090909088</v>
      </c>
      <c r="D16" s="120">
        <f t="shared" ref="D16:D18" si="10">C16-B16</f>
        <v>214.49909090909091</v>
      </c>
      <c r="E16" s="121">
        <f t="shared" ref="E16:E18" si="11">D16/B16</f>
        <v>0.31524976250950298</v>
      </c>
      <c r="H16" s="6" t="s">
        <v>52</v>
      </c>
      <c r="I16" s="7">
        <v>544</v>
      </c>
      <c r="J16" s="7">
        <v>654.78</v>
      </c>
      <c r="K16" s="122">
        <f t="shared" ref="K16:K18" si="12">C16</f>
        <v>894.90909090909088</v>
      </c>
      <c r="L16" s="123">
        <f t="shared" ref="L16:L18" si="13">(K16-I16)/I16</f>
        <v>0.64505347593582885</v>
      </c>
      <c r="M16" s="121">
        <f t="shared" ref="M16:M18" si="14">(K16-J16)/J16</f>
        <v>0.36673247641817236</v>
      </c>
    </row>
    <row r="17" spans="1:29" s="5" customFormat="1">
      <c r="A17" s="6" t="s">
        <v>53</v>
      </c>
      <c r="B17" s="7">
        <v>2684.25</v>
      </c>
      <c r="C17" s="7">
        <f>'Tuition &amp; Fees By College'!L55</f>
        <v>2972.369090909091</v>
      </c>
      <c r="D17" s="120">
        <f t="shared" si="10"/>
        <v>288.11909090909103</v>
      </c>
      <c r="E17" s="121">
        <f t="shared" si="11"/>
        <v>0.10733690636456776</v>
      </c>
      <c r="H17" s="6" t="s">
        <v>53</v>
      </c>
      <c r="I17" s="7">
        <v>2152</v>
      </c>
      <c r="J17" s="7">
        <v>2600.64</v>
      </c>
      <c r="K17" s="122">
        <f t="shared" si="12"/>
        <v>2972.369090909091</v>
      </c>
      <c r="L17" s="123">
        <f t="shared" si="13"/>
        <v>0.38121240283879693</v>
      </c>
      <c r="M17" s="121">
        <f t="shared" si="14"/>
        <v>0.14293754264684508</v>
      </c>
    </row>
    <row r="18" spans="1:29" s="5" customFormat="1" ht="16.5" thickBot="1">
      <c r="A18" s="9" t="s">
        <v>54</v>
      </c>
      <c r="B18" s="10">
        <v>223.6875</v>
      </c>
      <c r="C18" s="10">
        <f>'Tuition &amp; Fees By College'!M55</f>
        <v>247.69742424242426</v>
      </c>
      <c r="D18" s="120">
        <f t="shared" si="10"/>
        <v>24.009924242424262</v>
      </c>
      <c r="E18" s="121">
        <f t="shared" si="11"/>
        <v>0.1073369063645678</v>
      </c>
      <c r="H18" s="9" t="s">
        <v>54</v>
      </c>
      <c r="I18" s="10">
        <v>179</v>
      </c>
      <c r="J18" s="10">
        <v>216.72</v>
      </c>
      <c r="K18" s="122">
        <f t="shared" si="12"/>
        <v>247.69742424242426</v>
      </c>
      <c r="L18" s="123">
        <f t="shared" si="13"/>
        <v>0.38378449297443723</v>
      </c>
      <c r="M18" s="121">
        <f t="shared" si="14"/>
        <v>0.14293754264684508</v>
      </c>
    </row>
    <row r="19" spans="1:29" s="14" customFormat="1">
      <c r="A19" s="194" t="s">
        <v>144</v>
      </c>
      <c r="B19" s="195"/>
      <c r="C19" s="195"/>
      <c r="D19" s="195"/>
      <c r="E19" s="195"/>
      <c r="F19" s="13"/>
      <c r="G19" s="13"/>
      <c r="H19" s="208" t="s">
        <v>143</v>
      </c>
      <c r="I19" s="209"/>
      <c r="J19" s="209"/>
      <c r="K19" s="209"/>
      <c r="L19" s="209"/>
      <c r="M19" s="209"/>
      <c r="N19" s="13"/>
      <c r="O19" s="13"/>
      <c r="P19" s="13"/>
      <c r="Q19" s="13"/>
      <c r="R19" s="13"/>
      <c r="S19" s="13"/>
      <c r="T19" s="13"/>
      <c r="U19" s="13"/>
      <c r="V19" s="13"/>
    </row>
    <row r="20" spans="1:29" s="19" customFormat="1">
      <c r="A20" s="200" t="s">
        <v>57</v>
      </c>
      <c r="B20" s="201"/>
      <c r="C20" s="201"/>
      <c r="D20" s="201"/>
      <c r="E20" s="201"/>
      <c r="F20" s="16"/>
      <c r="G20" s="16"/>
      <c r="H20" s="16"/>
      <c r="I20" s="16"/>
      <c r="J20" s="16"/>
      <c r="K20" s="16"/>
      <c r="L20" s="17"/>
      <c r="M20" s="17"/>
      <c r="N20" s="18"/>
      <c r="O20" s="18"/>
      <c r="P20" s="18"/>
      <c r="Q20" s="18"/>
      <c r="R20" s="18"/>
      <c r="S20" s="18"/>
      <c r="T20" s="18"/>
      <c r="U20" s="18"/>
      <c r="V20" s="18"/>
      <c r="W20" s="18"/>
      <c r="X20" s="18"/>
      <c r="Y20" s="18"/>
      <c r="Z20" s="18"/>
      <c r="AA20" s="18"/>
      <c r="AB20" s="18"/>
      <c r="AC20" s="18"/>
    </row>
    <row r="21" spans="1:29" s="19" customFormat="1" ht="27" customHeight="1">
      <c r="A21" s="200" t="s">
        <v>58</v>
      </c>
      <c r="B21" s="201"/>
      <c r="C21" s="201"/>
      <c r="D21" s="201"/>
      <c r="E21" s="201"/>
      <c r="F21" s="16"/>
      <c r="G21" s="16"/>
      <c r="H21" s="16"/>
      <c r="I21" s="16"/>
      <c r="J21" s="16"/>
      <c r="K21" s="16"/>
      <c r="L21" s="17"/>
      <c r="M21" s="17"/>
      <c r="N21" s="18"/>
      <c r="O21" s="18"/>
      <c r="P21" s="18"/>
      <c r="Q21" s="18"/>
      <c r="R21" s="18"/>
      <c r="S21" s="18"/>
      <c r="T21" s="18"/>
      <c r="U21" s="18"/>
      <c r="V21" s="18"/>
      <c r="W21" s="18"/>
      <c r="X21" s="18"/>
      <c r="Y21" s="18"/>
      <c r="Z21" s="18"/>
      <c r="AA21" s="18"/>
      <c r="AB21" s="18"/>
      <c r="AC21" s="18"/>
    </row>
    <row r="22" spans="1:29" s="19" customFormat="1">
      <c r="A22" s="186" t="s">
        <v>59</v>
      </c>
      <c r="B22" s="187"/>
      <c r="C22" s="187"/>
      <c r="D22" s="187"/>
      <c r="E22" s="187"/>
      <c r="F22" s="16"/>
      <c r="G22" s="16"/>
      <c r="H22" s="16"/>
      <c r="I22" s="16"/>
      <c r="J22" s="16"/>
      <c r="K22" s="16"/>
      <c r="L22" s="17"/>
      <c r="M22" s="17"/>
      <c r="N22" s="18"/>
      <c r="O22" s="18"/>
      <c r="P22" s="18"/>
      <c r="Q22" s="18"/>
      <c r="R22" s="18"/>
      <c r="S22" s="18"/>
      <c r="T22" s="18"/>
      <c r="U22" s="18"/>
      <c r="V22" s="18"/>
      <c r="W22" s="18"/>
      <c r="X22" s="18"/>
      <c r="Y22" s="18"/>
      <c r="Z22" s="18"/>
      <c r="AA22" s="18"/>
      <c r="AB22" s="18"/>
      <c r="AC22" s="18"/>
    </row>
    <row r="23" spans="1:29" s="19" customFormat="1">
      <c r="A23" s="186" t="s">
        <v>60</v>
      </c>
      <c r="B23" s="187"/>
      <c r="C23" s="187"/>
      <c r="D23" s="187"/>
      <c r="E23" s="187"/>
      <c r="F23" s="16"/>
      <c r="G23" s="16"/>
      <c r="H23" s="16"/>
      <c r="I23" s="16"/>
      <c r="J23" s="16"/>
      <c r="K23" s="16"/>
      <c r="L23" s="17"/>
      <c r="M23" s="17"/>
      <c r="N23" s="18"/>
      <c r="O23" s="18"/>
      <c r="P23" s="18"/>
      <c r="Q23" s="18"/>
      <c r="R23" s="18"/>
      <c r="S23" s="18"/>
      <c r="T23" s="18"/>
      <c r="U23" s="18"/>
      <c r="V23" s="18"/>
      <c r="W23" s="18"/>
      <c r="X23" s="18"/>
      <c r="Y23" s="18"/>
      <c r="Z23" s="18"/>
      <c r="AA23" s="18"/>
      <c r="AB23" s="18"/>
      <c r="AC23" s="18"/>
    </row>
  </sheetData>
  <mergeCells count="16">
    <mergeCell ref="A1:E1"/>
    <mergeCell ref="H1:M1"/>
    <mergeCell ref="D2:E2"/>
    <mergeCell ref="L2:M2"/>
    <mergeCell ref="A4:E4"/>
    <mergeCell ref="H4:M4"/>
    <mergeCell ref="H9:M9"/>
    <mergeCell ref="A14:E14"/>
    <mergeCell ref="H14:M14"/>
    <mergeCell ref="A19:E19"/>
    <mergeCell ref="H19:M19"/>
    <mergeCell ref="A20:E20"/>
    <mergeCell ref="A21:E21"/>
    <mergeCell ref="A22:E22"/>
    <mergeCell ref="A23:E23"/>
    <mergeCell ref="A9:E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662DC-902E-4EA6-B336-8334F2BAA38E}">
  <sheetPr>
    <tabColor theme="9" tint="0.79998168889431442"/>
  </sheetPr>
  <dimension ref="A1:AC175"/>
  <sheetViews>
    <sheetView workbookViewId="0">
      <pane xSplit="1" ySplit="4" topLeftCell="B110" activePane="bottomRight" state="frozen"/>
      <selection pane="topRight" activeCell="B1" sqref="B1"/>
      <selection pane="bottomLeft" activeCell="A5" sqref="A5"/>
      <selection pane="bottomRight" activeCell="A123" sqref="A123:M123"/>
    </sheetView>
  </sheetViews>
  <sheetFormatPr defaultColWidth="9.140625" defaultRowHeight="15.75"/>
  <cols>
    <col min="1" max="1" width="39.42578125" style="21" customWidth="1"/>
    <col min="2" max="2" width="12.5703125" style="22" bestFit="1" customWidth="1"/>
    <col min="3" max="3" width="11.5703125" style="22" customWidth="1"/>
    <col min="4" max="5" width="11.42578125" style="22" customWidth="1"/>
    <col min="6" max="6" width="12.5703125" style="22" bestFit="1" customWidth="1"/>
    <col min="7" max="7" width="15" style="22" customWidth="1"/>
    <col min="8" max="8" width="17.140625" style="22" customWidth="1"/>
    <col min="9" max="9" width="11.42578125" style="22" customWidth="1"/>
    <col min="10" max="10" width="12.5703125" style="22" bestFit="1" customWidth="1"/>
    <col min="11" max="11" width="11.42578125" style="22" customWidth="1"/>
    <col min="12" max="12" width="12" style="22" customWidth="1"/>
    <col min="13" max="13" width="11.85546875" style="22" customWidth="1"/>
    <col min="14" max="17" width="10.42578125" style="5" bestFit="1" customWidth="1"/>
    <col min="18" max="19" width="10.42578125" style="5" customWidth="1"/>
    <col min="20" max="23" width="10.42578125" style="5" bestFit="1" customWidth="1"/>
    <col min="24" max="25" width="10.42578125" style="5" customWidth="1"/>
    <col min="26" max="29" width="10.42578125" style="5" bestFit="1" customWidth="1"/>
    <col min="30" max="16384" width="9.140625" style="4"/>
  </cols>
  <sheetData>
    <row r="1" spans="1:13" s="5" customFormat="1" ht="33" customHeight="1">
      <c r="A1" s="188" t="s">
        <v>145</v>
      </c>
      <c r="B1" s="189"/>
      <c r="C1" s="189"/>
      <c r="D1" s="189"/>
      <c r="E1" s="189"/>
      <c r="F1" s="189"/>
      <c r="G1" s="189"/>
      <c r="H1" s="189"/>
      <c r="I1" s="189"/>
      <c r="J1" s="189"/>
      <c r="K1" s="189"/>
      <c r="L1" s="189"/>
      <c r="M1" s="190"/>
    </row>
    <row r="2" spans="1:13" s="5" customFormat="1">
      <c r="A2" s="77"/>
      <c r="B2" s="196" t="s">
        <v>50</v>
      </c>
      <c r="C2" s="197"/>
      <c r="D2" s="197"/>
      <c r="E2" s="198"/>
      <c r="F2" s="196" t="s">
        <v>61</v>
      </c>
      <c r="G2" s="197"/>
      <c r="H2" s="197"/>
      <c r="I2" s="198"/>
      <c r="J2" s="197" t="s">
        <v>56</v>
      </c>
      <c r="K2" s="197"/>
      <c r="L2" s="197"/>
      <c r="M2" s="198"/>
    </row>
    <row r="3" spans="1:13" s="5" customFormat="1">
      <c r="A3" s="77"/>
      <c r="B3" s="85" t="s">
        <v>62</v>
      </c>
      <c r="C3" s="86" t="s">
        <v>63</v>
      </c>
      <c r="D3" s="86" t="s">
        <v>64</v>
      </c>
      <c r="E3" s="87" t="s">
        <v>65</v>
      </c>
      <c r="F3" s="85" t="s">
        <v>62</v>
      </c>
      <c r="G3" s="86" t="s">
        <v>63</v>
      </c>
      <c r="H3" s="86" t="s">
        <v>64</v>
      </c>
      <c r="I3" s="87" t="s">
        <v>65</v>
      </c>
      <c r="J3" s="86" t="s">
        <v>62</v>
      </c>
      <c r="K3" s="86" t="s">
        <v>63</v>
      </c>
      <c r="L3" s="86" t="s">
        <v>64</v>
      </c>
      <c r="M3" s="87" t="s">
        <v>65</v>
      </c>
    </row>
    <row r="4" spans="1:13" s="5" customFormat="1">
      <c r="A4" s="88"/>
      <c r="B4" s="85" t="s">
        <v>66</v>
      </c>
      <c r="C4" s="86" t="s">
        <v>66</v>
      </c>
      <c r="D4" s="86" t="s">
        <v>66</v>
      </c>
      <c r="E4" s="87" t="s">
        <v>67</v>
      </c>
      <c r="F4" s="85" t="s">
        <v>66</v>
      </c>
      <c r="G4" s="86" t="s">
        <v>66</v>
      </c>
      <c r="H4" s="86" t="s">
        <v>66</v>
      </c>
      <c r="I4" s="87" t="s">
        <v>67</v>
      </c>
      <c r="J4" s="86" t="s">
        <v>66</v>
      </c>
      <c r="K4" s="86" t="s">
        <v>66</v>
      </c>
      <c r="L4" s="86" t="s">
        <v>66</v>
      </c>
      <c r="M4" s="87" t="s">
        <v>67</v>
      </c>
    </row>
    <row r="5" spans="1:13" s="5" customFormat="1">
      <c r="A5" s="62" t="s">
        <v>68</v>
      </c>
      <c r="B5" s="130">
        <v>1308</v>
      </c>
      <c r="C5" s="129">
        <v>62</v>
      </c>
      <c r="D5" s="131">
        <f>B5+C5</f>
        <v>1370</v>
      </c>
      <c r="E5" s="132">
        <f>D5/12</f>
        <v>114.16666666666667</v>
      </c>
      <c r="F5" s="130">
        <v>2160</v>
      </c>
      <c r="G5" s="129">
        <v>62</v>
      </c>
      <c r="H5" s="131">
        <f>F5+G5</f>
        <v>2222</v>
      </c>
      <c r="I5" s="132">
        <f>H5/12</f>
        <v>185.16666666666666</v>
      </c>
      <c r="J5" s="130">
        <v>3924</v>
      </c>
      <c r="K5" s="129">
        <v>62</v>
      </c>
      <c r="L5" s="131">
        <f>J5+K5</f>
        <v>3986</v>
      </c>
      <c r="M5" s="132">
        <f>L5/12</f>
        <v>332.16666666666669</v>
      </c>
    </row>
    <row r="6" spans="1:13" s="5" customFormat="1">
      <c r="A6" s="62" t="s">
        <v>69</v>
      </c>
      <c r="B6" s="130">
        <v>612</v>
      </c>
      <c r="C6" s="129">
        <v>341</v>
      </c>
      <c r="D6" s="131">
        <f>B6+C6</f>
        <v>953</v>
      </c>
      <c r="E6" s="132">
        <f t="shared" ref="E6:E54" si="0">D6/12</f>
        <v>79.416666666666671</v>
      </c>
      <c r="F6" s="130">
        <v>1224</v>
      </c>
      <c r="G6" s="129">
        <v>341</v>
      </c>
      <c r="H6" s="131">
        <f t="shared" ref="H6:H54" si="1">F6+G6</f>
        <v>1565</v>
      </c>
      <c r="I6" s="132">
        <f t="shared" ref="I6:I54" si="2">H6/12</f>
        <v>130.41666666666666</v>
      </c>
      <c r="J6" s="130">
        <v>1860</v>
      </c>
      <c r="K6" s="129">
        <v>341</v>
      </c>
      <c r="L6" s="131">
        <f t="shared" ref="L6:L54" si="3">J6+K6</f>
        <v>2201</v>
      </c>
      <c r="M6" s="132">
        <f t="shared" ref="M6:M54" si="4">L6/12</f>
        <v>183.41666666666666</v>
      </c>
    </row>
    <row r="7" spans="1:13" s="5" customFormat="1">
      <c r="A7" s="62" t="s">
        <v>74</v>
      </c>
      <c r="B7" s="130">
        <f>12*47</f>
        <v>564</v>
      </c>
      <c r="C7" s="129">
        <f>1068-B7</f>
        <v>504</v>
      </c>
      <c r="D7" s="131">
        <f t="shared" ref="D7:D54" si="5">B7+C7</f>
        <v>1068</v>
      </c>
      <c r="E7" s="132">
        <f t="shared" si="0"/>
        <v>89</v>
      </c>
      <c r="F7" s="130">
        <f>90*12</f>
        <v>1080</v>
      </c>
      <c r="G7" s="129">
        <f>1584-F7</f>
        <v>504</v>
      </c>
      <c r="H7" s="131">
        <f t="shared" si="1"/>
        <v>1584</v>
      </c>
      <c r="I7" s="132">
        <f t="shared" si="2"/>
        <v>132</v>
      </c>
      <c r="J7" s="130">
        <f>111*12</f>
        <v>1332</v>
      </c>
      <c r="K7" s="129">
        <f>2352-J7</f>
        <v>1020</v>
      </c>
      <c r="L7" s="131">
        <f t="shared" si="3"/>
        <v>2352</v>
      </c>
      <c r="M7" s="132">
        <f t="shared" si="4"/>
        <v>196</v>
      </c>
    </row>
    <row r="8" spans="1:13" s="5" customFormat="1">
      <c r="A8" s="62" t="s">
        <v>0</v>
      </c>
      <c r="B8" s="130">
        <v>840</v>
      </c>
      <c r="C8" s="129">
        <v>456</v>
      </c>
      <c r="D8" s="131">
        <f t="shared" si="5"/>
        <v>1296</v>
      </c>
      <c r="E8" s="132">
        <f t="shared" si="0"/>
        <v>108</v>
      </c>
      <c r="F8" s="130">
        <v>1380</v>
      </c>
      <c r="G8" s="129">
        <v>540</v>
      </c>
      <c r="H8" s="131">
        <f t="shared" si="1"/>
        <v>1920</v>
      </c>
      <c r="I8" s="132">
        <f t="shared" si="2"/>
        <v>160</v>
      </c>
      <c r="J8" s="130">
        <v>1944</v>
      </c>
      <c r="K8" s="129">
        <v>576</v>
      </c>
      <c r="L8" s="131">
        <f t="shared" si="3"/>
        <v>2520</v>
      </c>
      <c r="M8" s="132">
        <f t="shared" si="4"/>
        <v>210</v>
      </c>
    </row>
    <row r="9" spans="1:13" s="5" customFormat="1">
      <c r="A9" s="62" t="s">
        <v>151</v>
      </c>
      <c r="B9" s="130">
        <f>67*12</f>
        <v>804</v>
      </c>
      <c r="C9" s="129">
        <f>18*12</f>
        <v>216</v>
      </c>
      <c r="D9" s="131">
        <f t="shared" si="5"/>
        <v>1020</v>
      </c>
      <c r="E9" s="132">
        <f t="shared" si="0"/>
        <v>85</v>
      </c>
      <c r="F9" s="130">
        <f>67*12</f>
        <v>804</v>
      </c>
      <c r="G9" s="129">
        <f>219*12</f>
        <v>2628</v>
      </c>
      <c r="H9" s="131">
        <f t="shared" si="1"/>
        <v>3432</v>
      </c>
      <c r="I9" s="132">
        <f t="shared" si="2"/>
        <v>286</v>
      </c>
      <c r="J9" s="130">
        <f>200*12</f>
        <v>2400</v>
      </c>
      <c r="K9" s="129">
        <f>201*12</f>
        <v>2412</v>
      </c>
      <c r="L9" s="131">
        <f t="shared" si="3"/>
        <v>4812</v>
      </c>
      <c r="M9" s="132">
        <f t="shared" si="4"/>
        <v>401</v>
      </c>
    </row>
    <row r="10" spans="1:13" s="5" customFormat="1">
      <c r="A10" s="62" t="s">
        <v>9</v>
      </c>
      <c r="B10" s="130">
        <v>768</v>
      </c>
      <c r="C10" s="129">
        <v>960</v>
      </c>
      <c r="D10" s="131">
        <f t="shared" si="5"/>
        <v>1728</v>
      </c>
      <c r="E10" s="132">
        <f t="shared" si="0"/>
        <v>144</v>
      </c>
      <c r="F10" s="130">
        <v>1476</v>
      </c>
      <c r="G10" s="129">
        <v>960</v>
      </c>
      <c r="H10" s="131">
        <f t="shared" si="1"/>
        <v>2436</v>
      </c>
      <c r="I10" s="132">
        <f t="shared" si="2"/>
        <v>203</v>
      </c>
      <c r="J10" s="130">
        <v>3348</v>
      </c>
      <c r="K10" s="129">
        <v>960</v>
      </c>
      <c r="L10" s="131">
        <f t="shared" si="3"/>
        <v>4308</v>
      </c>
      <c r="M10" s="132">
        <f t="shared" si="4"/>
        <v>359</v>
      </c>
    </row>
    <row r="11" spans="1:13" s="5" customFormat="1">
      <c r="A11" s="62" t="s">
        <v>38</v>
      </c>
      <c r="B11" s="130">
        <v>780</v>
      </c>
      <c r="C11" s="129">
        <v>606</v>
      </c>
      <c r="D11" s="131">
        <f t="shared" si="5"/>
        <v>1386</v>
      </c>
      <c r="E11" s="132">
        <f t="shared" si="0"/>
        <v>115.5</v>
      </c>
      <c r="F11" s="130">
        <v>1188</v>
      </c>
      <c r="G11" s="129">
        <v>606</v>
      </c>
      <c r="H11" s="131">
        <f t="shared" si="1"/>
        <v>1794</v>
      </c>
      <c r="I11" s="132">
        <f t="shared" si="2"/>
        <v>149.5</v>
      </c>
      <c r="J11" s="130">
        <v>1836</v>
      </c>
      <c r="K11" s="129">
        <v>606</v>
      </c>
      <c r="L11" s="131">
        <f t="shared" si="3"/>
        <v>2442</v>
      </c>
      <c r="M11" s="132">
        <f t="shared" si="4"/>
        <v>203.5</v>
      </c>
    </row>
    <row r="12" spans="1:13" s="5" customFormat="1">
      <c r="A12" s="62" t="s">
        <v>8</v>
      </c>
      <c r="B12" s="130">
        <v>1500</v>
      </c>
      <c r="C12" s="129">
        <v>0</v>
      </c>
      <c r="D12" s="131">
        <f t="shared" si="5"/>
        <v>1500</v>
      </c>
      <c r="E12" s="132">
        <f t="shared" si="0"/>
        <v>125</v>
      </c>
      <c r="F12" s="130">
        <v>1956</v>
      </c>
      <c r="G12" s="129">
        <v>0</v>
      </c>
      <c r="H12" s="131">
        <f t="shared" si="1"/>
        <v>1956</v>
      </c>
      <c r="I12" s="132">
        <f t="shared" si="2"/>
        <v>163</v>
      </c>
      <c r="J12" s="130">
        <v>3000</v>
      </c>
      <c r="K12" s="129">
        <v>0</v>
      </c>
      <c r="L12" s="131">
        <f t="shared" si="3"/>
        <v>3000</v>
      </c>
      <c r="M12" s="132">
        <f t="shared" si="4"/>
        <v>250</v>
      </c>
    </row>
    <row r="13" spans="1:13" s="5" customFormat="1">
      <c r="A13" s="62" t="s">
        <v>31</v>
      </c>
      <c r="B13" s="130">
        <v>804</v>
      </c>
      <c r="C13" s="129">
        <v>840</v>
      </c>
      <c r="D13" s="131">
        <f t="shared" si="5"/>
        <v>1644</v>
      </c>
      <c r="E13" s="132">
        <f t="shared" si="0"/>
        <v>137</v>
      </c>
      <c r="F13" s="130">
        <v>804</v>
      </c>
      <c r="G13" s="129">
        <v>1380</v>
      </c>
      <c r="H13" s="131">
        <f t="shared" si="1"/>
        <v>2184</v>
      </c>
      <c r="I13" s="132">
        <f t="shared" si="2"/>
        <v>182</v>
      </c>
      <c r="J13" s="130">
        <v>1236</v>
      </c>
      <c r="K13" s="129">
        <v>1380</v>
      </c>
      <c r="L13" s="131">
        <f t="shared" si="3"/>
        <v>2616</v>
      </c>
      <c r="M13" s="132">
        <f t="shared" si="4"/>
        <v>218</v>
      </c>
    </row>
    <row r="14" spans="1:13" s="5" customFormat="1">
      <c r="A14" s="62" t="s">
        <v>17</v>
      </c>
      <c r="B14" s="130">
        <v>720</v>
      </c>
      <c r="C14" s="129">
        <v>768</v>
      </c>
      <c r="D14" s="131">
        <f t="shared" si="5"/>
        <v>1488</v>
      </c>
      <c r="E14" s="132">
        <f t="shared" si="0"/>
        <v>124</v>
      </c>
      <c r="F14" s="130">
        <v>720</v>
      </c>
      <c r="G14" s="129">
        <v>1056</v>
      </c>
      <c r="H14" s="131">
        <f t="shared" si="1"/>
        <v>1776</v>
      </c>
      <c r="I14" s="132">
        <f t="shared" si="2"/>
        <v>148</v>
      </c>
      <c r="J14" s="130">
        <v>1104</v>
      </c>
      <c r="K14" s="129">
        <v>2352</v>
      </c>
      <c r="L14" s="131">
        <f t="shared" si="3"/>
        <v>3456</v>
      </c>
      <c r="M14" s="132">
        <f t="shared" si="4"/>
        <v>288</v>
      </c>
    </row>
    <row r="15" spans="1:13" s="5" customFormat="1">
      <c r="A15" s="62" t="s">
        <v>18</v>
      </c>
      <c r="B15" s="130">
        <v>888</v>
      </c>
      <c r="C15" s="129">
        <v>83</v>
      </c>
      <c r="D15" s="131">
        <f t="shared" si="5"/>
        <v>971</v>
      </c>
      <c r="E15" s="132">
        <f t="shared" si="0"/>
        <v>80.916666666666671</v>
      </c>
      <c r="F15" s="130">
        <v>1632</v>
      </c>
      <c r="G15" s="129">
        <v>83</v>
      </c>
      <c r="H15" s="131">
        <f t="shared" si="1"/>
        <v>1715</v>
      </c>
      <c r="I15" s="132">
        <f t="shared" si="2"/>
        <v>142.91666666666666</v>
      </c>
      <c r="J15" s="130">
        <v>1812</v>
      </c>
      <c r="K15" s="129">
        <v>83</v>
      </c>
      <c r="L15" s="131">
        <f t="shared" si="3"/>
        <v>1895</v>
      </c>
      <c r="M15" s="132">
        <f t="shared" si="4"/>
        <v>157.91666666666666</v>
      </c>
    </row>
    <row r="16" spans="1:13" s="5" customFormat="1">
      <c r="A16" s="62" t="s">
        <v>10</v>
      </c>
      <c r="B16" s="130">
        <v>924</v>
      </c>
      <c r="C16" s="129">
        <v>0</v>
      </c>
      <c r="D16" s="131">
        <f t="shared" si="5"/>
        <v>924</v>
      </c>
      <c r="E16" s="132">
        <f t="shared" si="0"/>
        <v>77</v>
      </c>
      <c r="F16" s="130">
        <v>1380</v>
      </c>
      <c r="G16" s="129">
        <v>0</v>
      </c>
      <c r="H16" s="131">
        <f t="shared" si="1"/>
        <v>1380</v>
      </c>
      <c r="I16" s="132">
        <f t="shared" si="2"/>
        <v>115</v>
      </c>
      <c r="J16" s="130">
        <v>1656</v>
      </c>
      <c r="K16" s="129">
        <v>0</v>
      </c>
      <c r="L16" s="131">
        <f t="shared" si="3"/>
        <v>1656</v>
      </c>
      <c r="M16" s="132">
        <f t="shared" si="4"/>
        <v>138</v>
      </c>
    </row>
    <row r="17" spans="1:13" s="5" customFormat="1">
      <c r="A17" s="62" t="s">
        <v>148</v>
      </c>
      <c r="B17" s="130">
        <v>780</v>
      </c>
      <c r="C17" s="129">
        <v>26</v>
      </c>
      <c r="D17" s="131">
        <f t="shared" si="5"/>
        <v>806</v>
      </c>
      <c r="E17" s="132">
        <f t="shared" si="0"/>
        <v>67.166666666666671</v>
      </c>
      <c r="F17" s="130">
        <v>1500</v>
      </c>
      <c r="G17" s="129">
        <v>26</v>
      </c>
      <c r="H17" s="131">
        <f t="shared" si="1"/>
        <v>1526</v>
      </c>
      <c r="I17" s="132">
        <f t="shared" si="2"/>
        <v>127.16666666666667</v>
      </c>
      <c r="J17" s="130">
        <v>2400</v>
      </c>
      <c r="K17" s="129">
        <v>26</v>
      </c>
      <c r="L17" s="131">
        <f t="shared" si="3"/>
        <v>2426</v>
      </c>
      <c r="M17" s="132">
        <f t="shared" si="4"/>
        <v>202.16666666666666</v>
      </c>
    </row>
    <row r="18" spans="1:13" s="5" customFormat="1">
      <c r="A18" s="62" t="s">
        <v>24</v>
      </c>
      <c r="B18" s="130">
        <v>1188</v>
      </c>
      <c r="C18" s="129">
        <v>0</v>
      </c>
      <c r="D18" s="131">
        <f t="shared" si="5"/>
        <v>1188</v>
      </c>
      <c r="E18" s="132">
        <f t="shared" si="0"/>
        <v>99</v>
      </c>
      <c r="F18" s="130">
        <v>2028</v>
      </c>
      <c r="G18" s="129">
        <v>0</v>
      </c>
      <c r="H18" s="131">
        <f t="shared" si="1"/>
        <v>2028</v>
      </c>
      <c r="I18" s="132">
        <f t="shared" si="2"/>
        <v>169</v>
      </c>
      <c r="J18" s="130">
        <v>3000</v>
      </c>
      <c r="K18" s="129">
        <v>0</v>
      </c>
      <c r="L18" s="131">
        <f t="shared" si="3"/>
        <v>3000</v>
      </c>
      <c r="M18" s="132">
        <f t="shared" si="4"/>
        <v>250</v>
      </c>
    </row>
    <row r="19" spans="1:13" s="5" customFormat="1">
      <c r="A19" s="62" t="s">
        <v>40</v>
      </c>
      <c r="B19" s="130">
        <v>900</v>
      </c>
      <c r="C19" s="129">
        <v>517</v>
      </c>
      <c r="D19" s="131">
        <f t="shared" si="5"/>
        <v>1417</v>
      </c>
      <c r="E19" s="132">
        <f t="shared" si="0"/>
        <v>118.08333333333333</v>
      </c>
      <c r="F19" s="130">
        <v>1500</v>
      </c>
      <c r="G19" s="129">
        <v>517</v>
      </c>
      <c r="H19" s="131">
        <f t="shared" si="1"/>
        <v>2017</v>
      </c>
      <c r="I19" s="132">
        <f t="shared" si="2"/>
        <v>168.08333333333334</v>
      </c>
      <c r="J19" s="130">
        <v>1944</v>
      </c>
      <c r="K19" s="129">
        <v>517</v>
      </c>
      <c r="L19" s="131">
        <f t="shared" si="3"/>
        <v>2461</v>
      </c>
      <c r="M19" s="132">
        <f t="shared" si="4"/>
        <v>205.08333333333334</v>
      </c>
    </row>
    <row r="20" spans="1:13" s="5" customFormat="1">
      <c r="A20" s="62" t="s">
        <v>70</v>
      </c>
      <c r="B20" s="130">
        <v>1392</v>
      </c>
      <c r="C20" s="129">
        <v>240</v>
      </c>
      <c r="D20" s="131">
        <f t="shared" si="5"/>
        <v>1632</v>
      </c>
      <c r="E20" s="132">
        <f t="shared" si="0"/>
        <v>136</v>
      </c>
      <c r="F20" s="130">
        <v>1392</v>
      </c>
      <c r="G20" s="129">
        <v>240</v>
      </c>
      <c r="H20" s="131">
        <f t="shared" si="1"/>
        <v>1632</v>
      </c>
      <c r="I20" s="132">
        <f t="shared" si="2"/>
        <v>136</v>
      </c>
      <c r="J20" s="130">
        <v>2412</v>
      </c>
      <c r="K20" s="129">
        <v>240</v>
      </c>
      <c r="L20" s="131">
        <f t="shared" si="3"/>
        <v>2652</v>
      </c>
      <c r="M20" s="132">
        <f t="shared" si="4"/>
        <v>221</v>
      </c>
    </row>
    <row r="21" spans="1:13" s="5" customFormat="1">
      <c r="A21" s="62" t="s">
        <v>71</v>
      </c>
      <c r="B21" s="130">
        <v>708</v>
      </c>
      <c r="C21" s="129">
        <v>797</v>
      </c>
      <c r="D21" s="131">
        <f t="shared" si="5"/>
        <v>1505</v>
      </c>
      <c r="E21" s="132">
        <f t="shared" si="0"/>
        <v>125.41666666666667</v>
      </c>
      <c r="F21" s="130">
        <v>1068</v>
      </c>
      <c r="G21" s="129">
        <v>797</v>
      </c>
      <c r="H21" s="131">
        <f t="shared" si="1"/>
        <v>1865</v>
      </c>
      <c r="I21" s="132">
        <f t="shared" si="2"/>
        <v>155.41666666666666</v>
      </c>
      <c r="J21" s="130">
        <v>1176</v>
      </c>
      <c r="K21" s="129">
        <v>797</v>
      </c>
      <c r="L21" s="131">
        <f t="shared" si="3"/>
        <v>1973</v>
      </c>
      <c r="M21" s="132">
        <f t="shared" si="4"/>
        <v>164.41666666666666</v>
      </c>
    </row>
    <row r="22" spans="1:13" s="5" customFormat="1">
      <c r="A22" s="62" t="s">
        <v>41</v>
      </c>
      <c r="B22" s="130">
        <v>672</v>
      </c>
      <c r="C22" s="129">
        <v>439</v>
      </c>
      <c r="D22" s="131">
        <f t="shared" si="5"/>
        <v>1111</v>
      </c>
      <c r="E22" s="132">
        <f t="shared" si="0"/>
        <v>92.583333333333329</v>
      </c>
      <c r="F22" s="130">
        <v>672</v>
      </c>
      <c r="G22" s="129">
        <v>727</v>
      </c>
      <c r="H22" s="131">
        <f t="shared" si="1"/>
        <v>1399</v>
      </c>
      <c r="I22" s="132">
        <f t="shared" si="2"/>
        <v>116.58333333333333</v>
      </c>
      <c r="J22" s="130">
        <v>1764</v>
      </c>
      <c r="K22" s="129">
        <v>727</v>
      </c>
      <c r="L22" s="131">
        <f t="shared" si="3"/>
        <v>2491</v>
      </c>
      <c r="M22" s="132">
        <f t="shared" si="4"/>
        <v>207.58333333333334</v>
      </c>
    </row>
    <row r="23" spans="1:13" s="5" customFormat="1">
      <c r="A23" s="62" t="s">
        <v>20</v>
      </c>
      <c r="B23" s="130">
        <v>600</v>
      </c>
      <c r="C23" s="129">
        <v>600</v>
      </c>
      <c r="D23" s="131">
        <f t="shared" si="5"/>
        <v>1200</v>
      </c>
      <c r="E23" s="132">
        <f t="shared" si="0"/>
        <v>100</v>
      </c>
      <c r="F23" s="130">
        <v>1200</v>
      </c>
      <c r="G23" s="129">
        <v>600</v>
      </c>
      <c r="H23" s="131">
        <f t="shared" si="1"/>
        <v>1800</v>
      </c>
      <c r="I23" s="132">
        <f t="shared" si="2"/>
        <v>150</v>
      </c>
      <c r="J23" s="130">
        <v>1920</v>
      </c>
      <c r="K23" s="129">
        <v>600</v>
      </c>
      <c r="L23" s="131">
        <f t="shared" si="3"/>
        <v>2520</v>
      </c>
      <c r="M23" s="132">
        <f t="shared" si="4"/>
        <v>210</v>
      </c>
    </row>
    <row r="24" spans="1:13" s="5" customFormat="1">
      <c r="A24" s="62" t="s">
        <v>19</v>
      </c>
      <c r="B24" s="130">
        <v>1164</v>
      </c>
      <c r="C24" s="129">
        <v>432</v>
      </c>
      <c r="D24" s="131">
        <f t="shared" si="5"/>
        <v>1596</v>
      </c>
      <c r="E24" s="132">
        <f t="shared" si="0"/>
        <v>133</v>
      </c>
      <c r="F24" s="130">
        <v>1164</v>
      </c>
      <c r="G24" s="129">
        <v>732</v>
      </c>
      <c r="H24" s="131">
        <f t="shared" si="1"/>
        <v>1896</v>
      </c>
      <c r="I24" s="132">
        <f t="shared" si="2"/>
        <v>158</v>
      </c>
      <c r="J24" s="130">
        <v>3564</v>
      </c>
      <c r="K24" s="129">
        <v>732</v>
      </c>
      <c r="L24" s="131">
        <f t="shared" si="3"/>
        <v>4296</v>
      </c>
      <c r="M24" s="132">
        <f t="shared" si="4"/>
        <v>358</v>
      </c>
    </row>
    <row r="25" spans="1:13" s="5" customFormat="1">
      <c r="A25" s="62" t="s">
        <v>32</v>
      </c>
      <c r="B25" s="130">
        <v>396</v>
      </c>
      <c r="C25" s="129">
        <v>624</v>
      </c>
      <c r="D25" s="131">
        <f t="shared" si="5"/>
        <v>1020</v>
      </c>
      <c r="E25" s="132">
        <f t="shared" si="0"/>
        <v>85</v>
      </c>
      <c r="F25" s="130">
        <v>1452</v>
      </c>
      <c r="G25" s="129">
        <v>720</v>
      </c>
      <c r="H25" s="131">
        <f t="shared" si="1"/>
        <v>2172</v>
      </c>
      <c r="I25" s="132">
        <f t="shared" si="2"/>
        <v>181</v>
      </c>
      <c r="J25" s="130">
        <v>1812</v>
      </c>
      <c r="K25" s="129">
        <v>918</v>
      </c>
      <c r="L25" s="131">
        <f t="shared" si="3"/>
        <v>2730</v>
      </c>
      <c r="M25" s="132">
        <f t="shared" si="4"/>
        <v>227.5</v>
      </c>
    </row>
    <row r="26" spans="1:13" s="5" customFormat="1">
      <c r="A26" s="62" t="s">
        <v>22</v>
      </c>
      <c r="B26" s="130">
        <v>1014</v>
      </c>
      <c r="C26" s="129">
        <v>153</v>
      </c>
      <c r="D26" s="131">
        <f t="shared" si="5"/>
        <v>1167</v>
      </c>
      <c r="E26" s="132">
        <f t="shared" si="0"/>
        <v>97.25</v>
      </c>
      <c r="F26" s="130">
        <v>2004</v>
      </c>
      <c r="G26" s="129">
        <v>153</v>
      </c>
      <c r="H26" s="131">
        <f t="shared" si="1"/>
        <v>2157</v>
      </c>
      <c r="I26" s="132">
        <f t="shared" si="2"/>
        <v>179.75</v>
      </c>
      <c r="J26" s="130">
        <v>2348</v>
      </c>
      <c r="K26" s="129">
        <v>153</v>
      </c>
      <c r="L26" s="131">
        <f t="shared" si="3"/>
        <v>2501</v>
      </c>
      <c r="M26" s="132">
        <f t="shared" si="4"/>
        <v>208.41666666666666</v>
      </c>
    </row>
    <row r="27" spans="1:13" s="5" customFormat="1">
      <c r="A27" s="62" t="s">
        <v>13</v>
      </c>
      <c r="B27" s="130">
        <v>1080</v>
      </c>
      <c r="C27" s="129">
        <v>444</v>
      </c>
      <c r="D27" s="131">
        <f t="shared" si="5"/>
        <v>1524</v>
      </c>
      <c r="E27" s="132">
        <f t="shared" si="0"/>
        <v>127</v>
      </c>
      <c r="F27" s="130">
        <v>2028</v>
      </c>
      <c r="G27" s="129">
        <v>1392</v>
      </c>
      <c r="H27" s="131">
        <f t="shared" si="1"/>
        <v>3420</v>
      </c>
      <c r="I27" s="132">
        <f t="shared" si="2"/>
        <v>285</v>
      </c>
      <c r="J27" s="130">
        <v>2628</v>
      </c>
      <c r="K27" s="129">
        <v>1392</v>
      </c>
      <c r="L27" s="131">
        <f t="shared" si="3"/>
        <v>4020</v>
      </c>
      <c r="M27" s="132">
        <f t="shared" si="4"/>
        <v>335</v>
      </c>
    </row>
    <row r="28" spans="1:13" s="5" customFormat="1">
      <c r="A28" s="62" t="s">
        <v>30</v>
      </c>
      <c r="B28" s="130">
        <v>600</v>
      </c>
      <c r="C28" s="129">
        <v>1050</v>
      </c>
      <c r="D28" s="131">
        <f t="shared" si="5"/>
        <v>1650</v>
      </c>
      <c r="E28" s="132">
        <f t="shared" si="0"/>
        <v>137.5</v>
      </c>
      <c r="F28" s="130">
        <v>1200</v>
      </c>
      <c r="G28" s="129">
        <v>1050</v>
      </c>
      <c r="H28" s="131">
        <f t="shared" si="1"/>
        <v>2250</v>
      </c>
      <c r="I28" s="132">
        <f t="shared" si="2"/>
        <v>187.5</v>
      </c>
      <c r="J28" s="130">
        <v>1824</v>
      </c>
      <c r="K28" s="129">
        <v>1050</v>
      </c>
      <c r="L28" s="131">
        <f t="shared" si="3"/>
        <v>2874</v>
      </c>
      <c r="M28" s="132">
        <f t="shared" si="4"/>
        <v>239.5</v>
      </c>
    </row>
    <row r="29" spans="1:13" s="5" customFormat="1">
      <c r="A29" s="62" t="s">
        <v>35</v>
      </c>
      <c r="B29" s="130">
        <v>708</v>
      </c>
      <c r="C29" s="129">
        <v>784</v>
      </c>
      <c r="D29" s="131">
        <f t="shared" si="5"/>
        <v>1492</v>
      </c>
      <c r="E29" s="132">
        <f t="shared" si="0"/>
        <v>124.33333333333333</v>
      </c>
      <c r="F29" s="130">
        <v>1566</v>
      </c>
      <c r="G29" s="129">
        <v>0</v>
      </c>
      <c r="H29" s="131">
        <f t="shared" si="1"/>
        <v>1566</v>
      </c>
      <c r="I29" s="132">
        <f t="shared" si="2"/>
        <v>130.5</v>
      </c>
      <c r="J29" s="130">
        <v>1776</v>
      </c>
      <c r="K29" s="129">
        <v>0</v>
      </c>
      <c r="L29" s="131">
        <f t="shared" si="3"/>
        <v>1776</v>
      </c>
      <c r="M29" s="132">
        <f t="shared" si="4"/>
        <v>148</v>
      </c>
    </row>
    <row r="30" spans="1:13" s="5" customFormat="1">
      <c r="A30" s="62" t="s">
        <v>147</v>
      </c>
      <c r="B30" s="130">
        <v>1332</v>
      </c>
      <c r="C30" s="129">
        <v>30</v>
      </c>
      <c r="D30" s="131">
        <f t="shared" si="5"/>
        <v>1362</v>
      </c>
      <c r="E30" s="132">
        <f t="shared" si="0"/>
        <v>113.5</v>
      </c>
      <c r="F30" s="130">
        <v>2988</v>
      </c>
      <c r="G30" s="129">
        <v>30</v>
      </c>
      <c r="H30" s="131">
        <f t="shared" si="1"/>
        <v>3018</v>
      </c>
      <c r="I30" s="132">
        <f t="shared" si="2"/>
        <v>251.5</v>
      </c>
      <c r="J30" s="130">
        <v>3756</v>
      </c>
      <c r="K30" s="129">
        <v>30</v>
      </c>
      <c r="L30" s="131">
        <f t="shared" si="3"/>
        <v>3786</v>
      </c>
      <c r="M30" s="132">
        <f t="shared" si="4"/>
        <v>315.5</v>
      </c>
    </row>
    <row r="31" spans="1:13" s="5" customFormat="1">
      <c r="A31" s="62" t="s">
        <v>28</v>
      </c>
      <c r="B31" s="130">
        <v>1272</v>
      </c>
      <c r="C31" s="129">
        <v>192</v>
      </c>
      <c r="D31" s="131">
        <f t="shared" si="5"/>
        <v>1464</v>
      </c>
      <c r="E31" s="132">
        <f t="shared" si="0"/>
        <v>122</v>
      </c>
      <c r="F31" s="130">
        <v>1488</v>
      </c>
      <c r="G31" s="129">
        <v>192</v>
      </c>
      <c r="H31" s="131">
        <f t="shared" si="1"/>
        <v>1680</v>
      </c>
      <c r="I31" s="132">
        <f t="shared" si="2"/>
        <v>140</v>
      </c>
      <c r="J31" s="130">
        <v>2172</v>
      </c>
      <c r="K31" s="129">
        <v>192</v>
      </c>
      <c r="L31" s="131">
        <f t="shared" si="3"/>
        <v>2364</v>
      </c>
      <c r="M31" s="132">
        <f t="shared" si="4"/>
        <v>197</v>
      </c>
    </row>
    <row r="32" spans="1:13" s="5" customFormat="1">
      <c r="A32" s="62" t="s">
        <v>21</v>
      </c>
      <c r="B32" s="130">
        <v>852</v>
      </c>
      <c r="C32" s="129">
        <v>360</v>
      </c>
      <c r="D32" s="131">
        <f t="shared" si="5"/>
        <v>1212</v>
      </c>
      <c r="E32" s="132">
        <f t="shared" si="0"/>
        <v>101</v>
      </c>
      <c r="F32" s="130">
        <v>1548</v>
      </c>
      <c r="G32" s="129">
        <v>360</v>
      </c>
      <c r="H32" s="131">
        <f t="shared" si="1"/>
        <v>1908</v>
      </c>
      <c r="I32" s="132">
        <f t="shared" si="2"/>
        <v>159</v>
      </c>
      <c r="J32" s="130">
        <v>2052</v>
      </c>
      <c r="K32" s="129">
        <v>360</v>
      </c>
      <c r="L32" s="131">
        <f t="shared" si="3"/>
        <v>2412</v>
      </c>
      <c r="M32" s="132">
        <f t="shared" si="4"/>
        <v>201</v>
      </c>
    </row>
    <row r="33" spans="1:29">
      <c r="A33" s="62" t="s">
        <v>5</v>
      </c>
      <c r="B33" s="130">
        <v>540</v>
      </c>
      <c r="C33" s="129">
        <v>673</v>
      </c>
      <c r="D33" s="131">
        <f t="shared" si="5"/>
        <v>1213</v>
      </c>
      <c r="E33" s="132">
        <f t="shared" si="0"/>
        <v>101.08333333333333</v>
      </c>
      <c r="F33" s="130">
        <v>648</v>
      </c>
      <c r="G33" s="129">
        <v>1249</v>
      </c>
      <c r="H33" s="131">
        <f t="shared" si="1"/>
        <v>1897</v>
      </c>
      <c r="I33" s="132">
        <f t="shared" si="2"/>
        <v>158.08333333333334</v>
      </c>
      <c r="J33" s="130">
        <v>1392</v>
      </c>
      <c r="K33" s="129">
        <v>1249</v>
      </c>
      <c r="L33" s="131">
        <f t="shared" si="3"/>
        <v>2641</v>
      </c>
      <c r="M33" s="132">
        <f t="shared" si="4"/>
        <v>220.08333333333334</v>
      </c>
    </row>
    <row r="34" spans="1:29">
      <c r="A34" s="62" t="s">
        <v>6</v>
      </c>
      <c r="B34" s="130">
        <v>684</v>
      </c>
      <c r="C34" s="129">
        <v>660</v>
      </c>
      <c r="D34" s="131">
        <f t="shared" si="5"/>
        <v>1344</v>
      </c>
      <c r="E34" s="132">
        <f t="shared" si="0"/>
        <v>112</v>
      </c>
      <c r="F34" s="130">
        <v>684</v>
      </c>
      <c r="G34" s="129">
        <v>1860</v>
      </c>
      <c r="H34" s="131">
        <f t="shared" si="1"/>
        <v>2544</v>
      </c>
      <c r="I34" s="132">
        <f t="shared" si="2"/>
        <v>212</v>
      </c>
      <c r="J34" s="130">
        <v>684</v>
      </c>
      <c r="K34" s="129">
        <v>3120</v>
      </c>
      <c r="L34" s="131">
        <f t="shared" si="3"/>
        <v>3804</v>
      </c>
      <c r="M34" s="132">
        <f t="shared" si="4"/>
        <v>317</v>
      </c>
    </row>
    <row r="35" spans="1:29">
      <c r="A35" s="62" t="s">
        <v>42</v>
      </c>
      <c r="B35" s="130">
        <v>660</v>
      </c>
      <c r="C35" s="129">
        <v>833</v>
      </c>
      <c r="D35" s="131">
        <f t="shared" si="5"/>
        <v>1493</v>
      </c>
      <c r="E35" s="132">
        <f t="shared" si="0"/>
        <v>124.41666666666667</v>
      </c>
      <c r="F35" s="130">
        <v>1404</v>
      </c>
      <c r="G35" s="129">
        <v>833</v>
      </c>
      <c r="H35" s="131">
        <f t="shared" si="1"/>
        <v>2237</v>
      </c>
      <c r="I35" s="132">
        <f t="shared" si="2"/>
        <v>186.41666666666666</v>
      </c>
      <c r="J35" s="130">
        <v>1980</v>
      </c>
      <c r="K35" s="129">
        <v>833</v>
      </c>
      <c r="L35" s="131">
        <f t="shared" si="3"/>
        <v>2813</v>
      </c>
      <c r="M35" s="132">
        <f t="shared" si="4"/>
        <v>234.41666666666666</v>
      </c>
    </row>
    <row r="36" spans="1:29">
      <c r="A36" s="62" t="s">
        <v>23</v>
      </c>
      <c r="B36" s="130">
        <v>948</v>
      </c>
      <c r="C36" s="129">
        <v>396</v>
      </c>
      <c r="D36" s="131">
        <f t="shared" si="5"/>
        <v>1344</v>
      </c>
      <c r="E36" s="132">
        <f t="shared" si="0"/>
        <v>112</v>
      </c>
      <c r="F36" s="130">
        <v>1620</v>
      </c>
      <c r="G36" s="129">
        <v>396</v>
      </c>
      <c r="H36" s="131">
        <f t="shared" si="1"/>
        <v>2016</v>
      </c>
      <c r="I36" s="132">
        <f t="shared" si="2"/>
        <v>168</v>
      </c>
      <c r="J36" s="130">
        <v>2142</v>
      </c>
      <c r="K36" s="129">
        <v>396</v>
      </c>
      <c r="L36" s="131">
        <f t="shared" si="3"/>
        <v>2538</v>
      </c>
      <c r="M36" s="132">
        <f t="shared" si="4"/>
        <v>211.5</v>
      </c>
      <c r="N36" s="4"/>
      <c r="O36" s="4"/>
      <c r="P36" s="4"/>
      <c r="Q36" s="4"/>
      <c r="R36" s="4"/>
      <c r="S36" s="4"/>
      <c r="T36" s="4"/>
      <c r="U36" s="4"/>
      <c r="V36" s="4"/>
      <c r="W36" s="4"/>
      <c r="X36" s="4"/>
      <c r="Y36" s="4"/>
      <c r="Z36" s="4"/>
      <c r="AA36" s="4"/>
      <c r="AB36" s="4"/>
      <c r="AC36" s="4"/>
    </row>
    <row r="37" spans="1:29">
      <c r="A37" s="62" t="s">
        <v>25</v>
      </c>
      <c r="B37" s="130">
        <v>396</v>
      </c>
      <c r="C37" s="129">
        <v>816</v>
      </c>
      <c r="D37" s="131">
        <f t="shared" si="5"/>
        <v>1212</v>
      </c>
      <c r="E37" s="132">
        <f t="shared" si="0"/>
        <v>101</v>
      </c>
      <c r="F37" s="130">
        <v>396</v>
      </c>
      <c r="G37" s="129">
        <v>1716</v>
      </c>
      <c r="H37" s="131">
        <f t="shared" si="1"/>
        <v>2112</v>
      </c>
      <c r="I37" s="132">
        <f t="shared" si="2"/>
        <v>176</v>
      </c>
      <c r="J37" s="130">
        <v>396</v>
      </c>
      <c r="K37" s="129">
        <v>2304</v>
      </c>
      <c r="L37" s="131">
        <f t="shared" si="3"/>
        <v>2700</v>
      </c>
      <c r="M37" s="132">
        <f t="shared" si="4"/>
        <v>225</v>
      </c>
    </row>
    <row r="38" spans="1:29">
      <c r="A38" s="62" t="s">
        <v>36</v>
      </c>
      <c r="B38" s="130">
        <v>780</v>
      </c>
      <c r="C38" s="129">
        <v>300</v>
      </c>
      <c r="D38" s="131">
        <f t="shared" si="5"/>
        <v>1080</v>
      </c>
      <c r="E38" s="132">
        <f t="shared" si="0"/>
        <v>90</v>
      </c>
      <c r="F38" s="130">
        <v>780</v>
      </c>
      <c r="G38" s="129">
        <v>900</v>
      </c>
      <c r="H38" s="131">
        <f t="shared" si="1"/>
        <v>1680</v>
      </c>
      <c r="I38" s="132">
        <f t="shared" si="2"/>
        <v>140</v>
      </c>
      <c r="J38" s="130">
        <v>1980</v>
      </c>
      <c r="K38" s="129">
        <v>300</v>
      </c>
      <c r="L38" s="131">
        <f t="shared" si="3"/>
        <v>2280</v>
      </c>
      <c r="M38" s="132">
        <f t="shared" si="4"/>
        <v>190</v>
      </c>
    </row>
    <row r="39" spans="1:29">
      <c r="A39" s="62" t="s">
        <v>39</v>
      </c>
      <c r="B39" s="130">
        <v>900</v>
      </c>
      <c r="C39" s="129">
        <v>155</v>
      </c>
      <c r="D39" s="131">
        <f t="shared" si="5"/>
        <v>1055</v>
      </c>
      <c r="E39" s="132">
        <f t="shared" si="0"/>
        <v>87.916666666666671</v>
      </c>
      <c r="F39" s="130">
        <v>2160</v>
      </c>
      <c r="G39" s="129">
        <v>575</v>
      </c>
      <c r="H39" s="131">
        <f t="shared" si="1"/>
        <v>2735</v>
      </c>
      <c r="I39" s="132">
        <f t="shared" si="2"/>
        <v>227.91666666666666</v>
      </c>
      <c r="J39" s="130">
        <v>3000</v>
      </c>
      <c r="K39" s="129">
        <v>575</v>
      </c>
      <c r="L39" s="131">
        <f t="shared" si="3"/>
        <v>3575</v>
      </c>
      <c r="M39" s="132">
        <f t="shared" si="4"/>
        <v>297.91666666666669</v>
      </c>
    </row>
    <row r="40" spans="1:29">
      <c r="A40" s="62" t="s">
        <v>37</v>
      </c>
      <c r="B40" s="130">
        <v>996</v>
      </c>
      <c r="C40" s="129">
        <v>0</v>
      </c>
      <c r="D40" s="131">
        <f t="shared" si="5"/>
        <v>996</v>
      </c>
      <c r="E40" s="132">
        <f t="shared" si="0"/>
        <v>83</v>
      </c>
      <c r="F40" s="130">
        <v>1720</v>
      </c>
      <c r="G40" s="129">
        <v>0</v>
      </c>
      <c r="H40" s="131">
        <f t="shared" si="1"/>
        <v>1720</v>
      </c>
      <c r="I40" s="132">
        <f t="shared" si="2"/>
        <v>143.33333333333334</v>
      </c>
      <c r="J40" s="130">
        <v>2676</v>
      </c>
      <c r="K40" s="129">
        <v>0</v>
      </c>
      <c r="L40" s="131">
        <f t="shared" si="3"/>
        <v>2676</v>
      </c>
      <c r="M40" s="132">
        <f t="shared" si="4"/>
        <v>223</v>
      </c>
    </row>
    <row r="41" spans="1:29">
      <c r="A41" s="62" t="s">
        <v>12</v>
      </c>
      <c r="B41" s="130">
        <v>348</v>
      </c>
      <c r="C41" s="129">
        <v>779</v>
      </c>
      <c r="D41" s="131">
        <f t="shared" si="5"/>
        <v>1127</v>
      </c>
      <c r="E41" s="132">
        <f t="shared" si="0"/>
        <v>93.916666666666671</v>
      </c>
      <c r="F41" s="130">
        <v>1368</v>
      </c>
      <c r="G41" s="129">
        <v>779</v>
      </c>
      <c r="H41" s="131">
        <f t="shared" si="1"/>
        <v>2147</v>
      </c>
      <c r="I41" s="132">
        <f t="shared" si="2"/>
        <v>178.91666666666666</v>
      </c>
      <c r="J41" s="130">
        <v>1560</v>
      </c>
      <c r="K41" s="129">
        <v>779</v>
      </c>
      <c r="L41" s="131">
        <f t="shared" si="3"/>
        <v>2339</v>
      </c>
      <c r="M41" s="132">
        <f t="shared" si="4"/>
        <v>194.91666666666666</v>
      </c>
    </row>
    <row r="42" spans="1:29">
      <c r="A42" s="62" t="s">
        <v>27</v>
      </c>
      <c r="B42" s="130">
        <v>2101</v>
      </c>
      <c r="C42" s="129">
        <v>49</v>
      </c>
      <c r="D42" s="131">
        <f t="shared" si="5"/>
        <v>2150</v>
      </c>
      <c r="E42" s="132">
        <f t="shared" si="0"/>
        <v>179.16666666666666</v>
      </c>
      <c r="F42" s="130">
        <v>2233</v>
      </c>
      <c r="G42" s="129">
        <v>40</v>
      </c>
      <c r="H42" s="131">
        <f t="shared" si="1"/>
        <v>2273</v>
      </c>
      <c r="I42" s="132">
        <f t="shared" si="2"/>
        <v>189.41666666666666</v>
      </c>
      <c r="J42" s="130">
        <v>3143</v>
      </c>
      <c r="K42" s="129">
        <v>64</v>
      </c>
      <c r="L42" s="131">
        <f t="shared" si="3"/>
        <v>3207</v>
      </c>
      <c r="M42" s="132">
        <f t="shared" si="4"/>
        <v>267.25</v>
      </c>
    </row>
    <row r="43" spans="1:29">
      <c r="A43" s="62" t="s">
        <v>72</v>
      </c>
      <c r="B43" s="130">
        <v>780</v>
      </c>
      <c r="C43" s="129">
        <v>543</v>
      </c>
      <c r="D43" s="131">
        <f t="shared" si="5"/>
        <v>1323</v>
      </c>
      <c r="E43" s="132">
        <f t="shared" si="0"/>
        <v>110.25</v>
      </c>
      <c r="F43" s="130">
        <v>780</v>
      </c>
      <c r="G43" s="129">
        <v>1383</v>
      </c>
      <c r="H43" s="131">
        <f t="shared" si="1"/>
        <v>2163</v>
      </c>
      <c r="I43" s="132">
        <f t="shared" si="2"/>
        <v>180.25</v>
      </c>
      <c r="J43" s="130">
        <v>2604</v>
      </c>
      <c r="K43" s="129">
        <v>543</v>
      </c>
      <c r="L43" s="131">
        <f t="shared" si="3"/>
        <v>3147</v>
      </c>
      <c r="M43" s="132">
        <f t="shared" si="4"/>
        <v>262.25</v>
      </c>
    </row>
    <row r="44" spans="1:29">
      <c r="A44" s="62" t="s">
        <v>34</v>
      </c>
      <c r="B44" s="130">
        <v>888</v>
      </c>
      <c r="C44" s="129">
        <v>0</v>
      </c>
      <c r="D44" s="131">
        <f t="shared" si="5"/>
        <v>888</v>
      </c>
      <c r="E44" s="132">
        <f t="shared" si="0"/>
        <v>74</v>
      </c>
      <c r="F44" s="130">
        <v>1632</v>
      </c>
      <c r="G44" s="129">
        <v>0</v>
      </c>
      <c r="H44" s="131">
        <f t="shared" si="1"/>
        <v>1632</v>
      </c>
      <c r="I44" s="132">
        <f t="shared" si="2"/>
        <v>136</v>
      </c>
      <c r="J44" s="130">
        <v>3780</v>
      </c>
      <c r="K44" s="129">
        <v>0</v>
      </c>
      <c r="L44" s="131">
        <f t="shared" si="3"/>
        <v>3780</v>
      </c>
      <c r="M44" s="132">
        <f t="shared" si="4"/>
        <v>315</v>
      </c>
    </row>
    <row r="45" spans="1:29">
      <c r="A45" s="62" t="s">
        <v>135</v>
      </c>
      <c r="B45" s="130">
        <v>660</v>
      </c>
      <c r="C45" s="129">
        <v>840</v>
      </c>
      <c r="D45" s="131">
        <f t="shared" si="5"/>
        <v>1500</v>
      </c>
      <c r="E45" s="132">
        <f t="shared" si="0"/>
        <v>125</v>
      </c>
      <c r="F45" s="130">
        <v>660</v>
      </c>
      <c r="G45" s="129">
        <v>1860</v>
      </c>
      <c r="H45" s="131">
        <f t="shared" si="1"/>
        <v>2520</v>
      </c>
      <c r="I45" s="132">
        <f t="shared" si="2"/>
        <v>210</v>
      </c>
      <c r="J45" s="130">
        <v>1416</v>
      </c>
      <c r="K45" s="129">
        <v>2196</v>
      </c>
      <c r="L45" s="131">
        <f t="shared" si="3"/>
        <v>3612</v>
      </c>
      <c r="M45" s="132">
        <f t="shared" si="4"/>
        <v>301</v>
      </c>
    </row>
    <row r="46" spans="1:29">
      <c r="A46" s="62" t="s">
        <v>33</v>
      </c>
      <c r="B46" s="130">
        <v>756</v>
      </c>
      <c r="C46" s="129">
        <v>482</v>
      </c>
      <c r="D46" s="131">
        <f t="shared" si="5"/>
        <v>1238</v>
      </c>
      <c r="E46" s="132">
        <f t="shared" si="0"/>
        <v>103.16666666666667</v>
      </c>
      <c r="F46" s="130">
        <v>852</v>
      </c>
      <c r="G46" s="129">
        <v>1106</v>
      </c>
      <c r="H46" s="131">
        <f t="shared" si="1"/>
        <v>1958</v>
      </c>
      <c r="I46" s="132">
        <f t="shared" si="2"/>
        <v>163.16666666666666</v>
      </c>
      <c r="J46" s="130">
        <v>960</v>
      </c>
      <c r="K46" s="129">
        <v>1706</v>
      </c>
      <c r="L46" s="131">
        <f t="shared" si="3"/>
        <v>2666</v>
      </c>
      <c r="M46" s="132">
        <f t="shared" si="4"/>
        <v>222.16666666666666</v>
      </c>
    </row>
    <row r="47" spans="1:29">
      <c r="A47" s="62" t="s">
        <v>152</v>
      </c>
      <c r="B47" s="130">
        <f>12*50</f>
        <v>600</v>
      </c>
      <c r="C47" s="129">
        <f>77*12+125</f>
        <v>1049</v>
      </c>
      <c r="D47" s="131">
        <f t="shared" si="5"/>
        <v>1649</v>
      </c>
      <c r="E47" s="132">
        <f t="shared" si="0"/>
        <v>137.41666666666666</v>
      </c>
      <c r="F47" s="130">
        <f>12*75</f>
        <v>900</v>
      </c>
      <c r="G47" s="129">
        <f>77*12+125</f>
        <v>1049</v>
      </c>
      <c r="H47" s="131">
        <f t="shared" si="1"/>
        <v>1949</v>
      </c>
      <c r="I47" s="132">
        <f t="shared" si="2"/>
        <v>162.41666666666666</v>
      </c>
      <c r="J47" s="130">
        <f>12*125</f>
        <v>1500</v>
      </c>
      <c r="K47" s="129">
        <f>77*12+125</f>
        <v>1049</v>
      </c>
      <c r="L47" s="131">
        <f t="shared" si="3"/>
        <v>2549</v>
      </c>
      <c r="M47" s="132">
        <f t="shared" si="4"/>
        <v>212.41666666666666</v>
      </c>
    </row>
    <row r="48" spans="1:29">
      <c r="A48" s="62" t="s">
        <v>11</v>
      </c>
      <c r="B48" s="130">
        <v>468</v>
      </c>
      <c r="C48" s="129">
        <v>588</v>
      </c>
      <c r="D48" s="131">
        <f t="shared" si="5"/>
        <v>1056</v>
      </c>
      <c r="E48" s="132">
        <f t="shared" si="0"/>
        <v>88</v>
      </c>
      <c r="F48" s="130">
        <v>468</v>
      </c>
      <c r="G48" s="129">
        <v>1500</v>
      </c>
      <c r="H48" s="131">
        <f t="shared" si="1"/>
        <v>1968</v>
      </c>
      <c r="I48" s="132">
        <f t="shared" si="2"/>
        <v>164</v>
      </c>
      <c r="J48" s="130">
        <v>1380</v>
      </c>
      <c r="K48" s="129">
        <v>588</v>
      </c>
      <c r="L48" s="131">
        <f t="shared" si="3"/>
        <v>1968</v>
      </c>
      <c r="M48" s="132">
        <f t="shared" si="4"/>
        <v>164</v>
      </c>
    </row>
    <row r="49" spans="1:29">
      <c r="A49" s="62" t="s">
        <v>29</v>
      </c>
      <c r="B49" s="130">
        <v>444</v>
      </c>
      <c r="C49" s="129">
        <v>828</v>
      </c>
      <c r="D49" s="131">
        <f t="shared" si="5"/>
        <v>1272</v>
      </c>
      <c r="E49" s="132">
        <f t="shared" si="0"/>
        <v>106</v>
      </c>
      <c r="F49" s="130">
        <v>480</v>
      </c>
      <c r="G49" s="129">
        <v>1548</v>
      </c>
      <c r="H49" s="131">
        <f t="shared" si="1"/>
        <v>2028</v>
      </c>
      <c r="I49" s="132">
        <f t="shared" si="2"/>
        <v>169</v>
      </c>
      <c r="J49" s="130">
        <v>780</v>
      </c>
      <c r="K49" s="129">
        <v>1548</v>
      </c>
      <c r="L49" s="131">
        <f t="shared" si="3"/>
        <v>2328</v>
      </c>
      <c r="M49" s="132">
        <f t="shared" si="4"/>
        <v>194</v>
      </c>
    </row>
    <row r="50" spans="1:29">
      <c r="A50" s="62" t="s">
        <v>14</v>
      </c>
      <c r="B50" s="130">
        <v>720</v>
      </c>
      <c r="C50" s="129">
        <v>600</v>
      </c>
      <c r="D50" s="131">
        <f t="shared" si="5"/>
        <v>1320</v>
      </c>
      <c r="E50" s="132">
        <f t="shared" si="0"/>
        <v>110</v>
      </c>
      <c r="F50" s="130">
        <v>1200</v>
      </c>
      <c r="G50" s="129">
        <v>600</v>
      </c>
      <c r="H50" s="131">
        <f t="shared" si="1"/>
        <v>1800</v>
      </c>
      <c r="I50" s="132">
        <f t="shared" si="2"/>
        <v>150</v>
      </c>
      <c r="J50" s="130">
        <v>1920</v>
      </c>
      <c r="K50" s="129">
        <v>600</v>
      </c>
      <c r="L50" s="131">
        <f t="shared" si="3"/>
        <v>2520</v>
      </c>
      <c r="M50" s="132">
        <f t="shared" si="4"/>
        <v>210</v>
      </c>
    </row>
    <row r="51" spans="1:29">
      <c r="A51" s="62" t="s">
        <v>16</v>
      </c>
      <c r="B51" s="130">
        <v>720</v>
      </c>
      <c r="C51" s="129">
        <v>768</v>
      </c>
      <c r="D51" s="131">
        <f t="shared" si="5"/>
        <v>1488</v>
      </c>
      <c r="E51" s="132">
        <f t="shared" si="0"/>
        <v>124</v>
      </c>
      <c r="F51" s="130">
        <v>720</v>
      </c>
      <c r="G51" s="129">
        <v>1500</v>
      </c>
      <c r="H51" s="131">
        <f t="shared" si="1"/>
        <v>2220</v>
      </c>
      <c r="I51" s="132">
        <f t="shared" si="2"/>
        <v>185</v>
      </c>
      <c r="J51" s="130">
        <v>1896</v>
      </c>
      <c r="K51" s="129">
        <v>768</v>
      </c>
      <c r="L51" s="131">
        <f t="shared" si="3"/>
        <v>2664</v>
      </c>
      <c r="M51" s="132">
        <f t="shared" si="4"/>
        <v>222</v>
      </c>
    </row>
    <row r="52" spans="1:29">
      <c r="A52" s="62" t="s">
        <v>7</v>
      </c>
      <c r="B52" s="130">
        <v>1500</v>
      </c>
      <c r="C52" s="129">
        <v>760</v>
      </c>
      <c r="D52" s="131">
        <f t="shared" si="5"/>
        <v>2260</v>
      </c>
      <c r="E52" s="132">
        <f t="shared" si="0"/>
        <v>188.33333333333334</v>
      </c>
      <c r="F52" s="130">
        <v>2640</v>
      </c>
      <c r="G52" s="129">
        <v>760</v>
      </c>
      <c r="H52" s="131">
        <f t="shared" si="1"/>
        <v>3400</v>
      </c>
      <c r="I52" s="132">
        <f t="shared" si="2"/>
        <v>283.33333333333331</v>
      </c>
      <c r="J52" s="130">
        <v>3744</v>
      </c>
      <c r="K52" s="129">
        <v>760</v>
      </c>
      <c r="L52" s="131">
        <f t="shared" si="3"/>
        <v>4504</v>
      </c>
      <c r="M52" s="132">
        <f t="shared" si="4"/>
        <v>375.33333333333331</v>
      </c>
      <c r="N52" s="4"/>
      <c r="O52" s="4"/>
      <c r="P52" s="4"/>
      <c r="Q52" s="4"/>
      <c r="R52" s="4"/>
      <c r="S52" s="4"/>
      <c r="T52" s="4"/>
      <c r="U52" s="4"/>
      <c r="V52" s="4"/>
      <c r="W52" s="4"/>
      <c r="X52" s="4"/>
      <c r="Y52" s="4"/>
      <c r="Z52" s="4"/>
      <c r="AA52" s="4"/>
      <c r="AB52" s="4"/>
      <c r="AC52" s="4"/>
    </row>
    <row r="53" spans="1:29">
      <c r="A53" s="62" t="s">
        <v>15</v>
      </c>
      <c r="B53" s="130">
        <v>828</v>
      </c>
      <c r="C53" s="129">
        <v>492</v>
      </c>
      <c r="D53" s="131">
        <f t="shared" si="5"/>
        <v>1320</v>
      </c>
      <c r="E53" s="132">
        <f t="shared" si="0"/>
        <v>110</v>
      </c>
      <c r="F53" s="130">
        <v>1428</v>
      </c>
      <c r="G53" s="129">
        <v>528</v>
      </c>
      <c r="H53" s="131">
        <f t="shared" si="1"/>
        <v>1956</v>
      </c>
      <c r="I53" s="132">
        <f t="shared" si="2"/>
        <v>163</v>
      </c>
      <c r="J53" s="130">
        <v>1932</v>
      </c>
      <c r="K53" s="129">
        <v>528</v>
      </c>
      <c r="L53" s="131">
        <f t="shared" si="3"/>
        <v>2460</v>
      </c>
      <c r="M53" s="132">
        <f t="shared" si="4"/>
        <v>205</v>
      </c>
    </row>
    <row r="54" spans="1:29">
      <c r="A54" s="62" t="s">
        <v>26</v>
      </c>
      <c r="B54" s="130">
        <v>384</v>
      </c>
      <c r="C54" s="129">
        <v>1212</v>
      </c>
      <c r="D54" s="131">
        <f t="shared" si="5"/>
        <v>1596</v>
      </c>
      <c r="E54" s="132">
        <f t="shared" si="0"/>
        <v>133</v>
      </c>
      <c r="F54" s="130">
        <v>384</v>
      </c>
      <c r="G54" s="129">
        <v>1944</v>
      </c>
      <c r="H54" s="131">
        <f t="shared" si="1"/>
        <v>2328</v>
      </c>
      <c r="I54" s="132">
        <f t="shared" si="2"/>
        <v>194</v>
      </c>
      <c r="J54" s="130">
        <v>1008</v>
      </c>
      <c r="K54" s="129">
        <v>1944</v>
      </c>
      <c r="L54" s="131">
        <f t="shared" si="3"/>
        <v>2952</v>
      </c>
      <c r="M54" s="132">
        <f t="shared" si="4"/>
        <v>246</v>
      </c>
    </row>
    <row r="55" spans="1:29" ht="16.5" thickBot="1">
      <c r="A55" s="63" t="s">
        <v>73</v>
      </c>
      <c r="B55" s="133">
        <f>AVERAGE(B5:B54)</f>
        <v>845.42</v>
      </c>
      <c r="C55" s="125">
        <f>AVERAGEIF(C5:C54, "&gt;0", C5:C54)</f>
        <v>541.04444444444448</v>
      </c>
      <c r="D55" s="134">
        <f>B55+C55</f>
        <v>1386.4644444444443</v>
      </c>
      <c r="E55" s="135">
        <f>D55/12</f>
        <v>115.53870370370369</v>
      </c>
      <c r="F55" s="133">
        <f t="shared" ref="F55" si="6">AVERAGE(F5:F54)</f>
        <v>1315.18</v>
      </c>
      <c r="G55" s="125">
        <f>AVERAGEIF(G5:G54, "&gt;0", G5:G54)</f>
        <v>859.59090909090912</v>
      </c>
      <c r="H55" s="134">
        <f>F55+G55</f>
        <v>2174.7709090909093</v>
      </c>
      <c r="I55" s="135">
        <f>H55/12</f>
        <v>181.23090909090911</v>
      </c>
      <c r="J55" s="133">
        <f t="shared" ref="J55" si="7">AVERAGE(J5:J54)</f>
        <v>2077.46</v>
      </c>
      <c r="K55" s="125">
        <f>AVERAGEIF(K5:K54, "&gt;0", K5:K54)</f>
        <v>894.90909090909088</v>
      </c>
      <c r="L55" s="134">
        <f>J55+K55</f>
        <v>2972.369090909091</v>
      </c>
      <c r="M55" s="135">
        <f>L55/12</f>
        <v>247.69742424242426</v>
      </c>
    </row>
    <row r="56" spans="1:29" s="19" customFormat="1">
      <c r="A56" s="194" t="s">
        <v>154</v>
      </c>
      <c r="B56" s="195"/>
      <c r="C56" s="195"/>
      <c r="D56" s="195"/>
      <c r="E56" s="195"/>
      <c r="F56" s="195"/>
      <c r="G56" s="195"/>
      <c r="H56" s="195"/>
      <c r="I56" s="195"/>
      <c r="J56" s="195"/>
      <c r="K56" s="195"/>
      <c r="L56" s="195"/>
      <c r="M56" s="195"/>
      <c r="N56" s="18"/>
      <c r="O56" s="18"/>
      <c r="P56" s="18"/>
      <c r="Q56" s="18"/>
      <c r="R56" s="18"/>
      <c r="S56" s="18"/>
      <c r="T56" s="18"/>
      <c r="U56" s="18"/>
      <c r="V56" s="18"/>
      <c r="W56" s="18"/>
      <c r="X56" s="18"/>
      <c r="Y56" s="18"/>
      <c r="Z56" s="18"/>
      <c r="AA56" s="18"/>
      <c r="AB56" s="18"/>
      <c r="AC56" s="18"/>
    </row>
    <row r="57" spans="1:29" s="19" customFormat="1">
      <c r="A57" s="186" t="s">
        <v>57</v>
      </c>
      <c r="B57" s="187"/>
      <c r="C57" s="187"/>
      <c r="D57" s="187"/>
      <c r="E57" s="187"/>
      <c r="F57" s="187"/>
      <c r="G57" s="187"/>
      <c r="H57" s="187"/>
      <c r="I57" s="187"/>
      <c r="J57" s="187"/>
      <c r="K57" s="187"/>
      <c r="L57" s="187"/>
      <c r="M57" s="187"/>
      <c r="N57" s="18"/>
      <c r="O57" s="18"/>
      <c r="P57" s="18"/>
      <c r="Q57" s="18"/>
      <c r="R57" s="18"/>
      <c r="S57" s="18"/>
      <c r="T57" s="18"/>
      <c r="U57" s="18"/>
      <c r="V57" s="18"/>
      <c r="W57" s="18"/>
      <c r="X57" s="18"/>
      <c r="Y57" s="18"/>
      <c r="Z57" s="18"/>
      <c r="AA57" s="18"/>
      <c r="AB57" s="18"/>
      <c r="AC57" s="18"/>
    </row>
    <row r="58" spans="1:29" s="19" customFormat="1">
      <c r="A58" s="186" t="s">
        <v>149</v>
      </c>
      <c r="B58" s="187"/>
      <c r="C58" s="187"/>
      <c r="D58" s="187"/>
      <c r="E58" s="187"/>
      <c r="F58" s="187"/>
      <c r="G58" s="187"/>
      <c r="H58" s="187"/>
      <c r="I58" s="187"/>
      <c r="J58" s="187"/>
      <c r="K58" s="187"/>
      <c r="L58" s="187"/>
      <c r="M58" s="187"/>
      <c r="N58" s="18"/>
      <c r="O58" s="18"/>
      <c r="P58" s="18"/>
      <c r="Q58" s="18"/>
      <c r="R58" s="18"/>
      <c r="S58" s="18"/>
      <c r="T58" s="18"/>
      <c r="U58" s="18"/>
      <c r="V58" s="18"/>
      <c r="W58" s="18"/>
      <c r="X58" s="18"/>
      <c r="Y58" s="18"/>
      <c r="Z58" s="18"/>
      <c r="AA58" s="18"/>
      <c r="AB58" s="18"/>
      <c r="AC58" s="18"/>
    </row>
    <row r="59" spans="1:29" s="19" customFormat="1">
      <c r="A59" s="186" t="s">
        <v>155</v>
      </c>
      <c r="B59" s="187"/>
      <c r="C59" s="187"/>
      <c r="D59" s="187"/>
      <c r="E59" s="187"/>
      <c r="F59" s="187"/>
      <c r="G59" s="187"/>
      <c r="H59" s="187"/>
      <c r="I59" s="187"/>
      <c r="J59" s="187"/>
      <c r="K59" s="187"/>
      <c r="L59" s="187"/>
      <c r="M59" s="187"/>
      <c r="N59" s="18"/>
      <c r="O59" s="18"/>
      <c r="P59" s="18"/>
      <c r="Q59" s="18"/>
      <c r="R59" s="18"/>
      <c r="S59" s="18"/>
      <c r="T59" s="18"/>
      <c r="U59" s="18"/>
      <c r="V59" s="18"/>
      <c r="W59" s="18"/>
      <c r="X59" s="18"/>
      <c r="Y59" s="18"/>
      <c r="Z59" s="18"/>
      <c r="AA59" s="18"/>
      <c r="AB59" s="18"/>
      <c r="AC59" s="18"/>
    </row>
    <row r="60" spans="1:29" s="19" customFormat="1">
      <c r="A60" s="186" t="s">
        <v>60</v>
      </c>
      <c r="B60" s="187"/>
      <c r="C60" s="187"/>
      <c r="D60" s="187"/>
      <c r="E60" s="187"/>
      <c r="F60" s="187"/>
      <c r="G60" s="187"/>
      <c r="H60" s="187"/>
      <c r="I60" s="187"/>
      <c r="J60" s="187"/>
      <c r="K60" s="187"/>
      <c r="L60" s="187"/>
      <c r="M60" s="187"/>
      <c r="N60" s="18"/>
      <c r="O60" s="18"/>
      <c r="P60" s="18"/>
      <c r="Q60" s="18"/>
      <c r="R60" s="18"/>
      <c r="S60" s="18"/>
      <c r="T60" s="18"/>
      <c r="U60" s="18"/>
      <c r="V60" s="18"/>
      <c r="W60" s="18"/>
      <c r="X60" s="18"/>
      <c r="Y60" s="18"/>
      <c r="Z60" s="18"/>
      <c r="AA60" s="18"/>
      <c r="AB60" s="18"/>
      <c r="AC60" s="18"/>
    </row>
    <row r="61" spans="1:29" s="19" customFormat="1">
      <c r="A61" s="186" t="s">
        <v>150</v>
      </c>
      <c r="B61" s="187"/>
      <c r="C61" s="187"/>
      <c r="D61" s="187"/>
      <c r="E61" s="187"/>
      <c r="F61" s="187"/>
      <c r="G61" s="187"/>
      <c r="H61" s="187"/>
      <c r="I61" s="187"/>
      <c r="J61" s="187"/>
      <c r="K61" s="187"/>
      <c r="L61" s="187"/>
      <c r="M61" s="187"/>
      <c r="N61" s="18"/>
      <c r="O61" s="18"/>
      <c r="P61" s="18"/>
      <c r="Q61" s="18"/>
      <c r="R61" s="18"/>
      <c r="S61" s="18"/>
      <c r="T61" s="18"/>
      <c r="U61" s="18"/>
      <c r="V61" s="18"/>
      <c r="W61" s="18"/>
      <c r="X61" s="18"/>
      <c r="Y61" s="18"/>
      <c r="Z61" s="18"/>
      <c r="AA61" s="18"/>
      <c r="AB61" s="18"/>
      <c r="AC61" s="18"/>
    </row>
    <row r="62" spans="1:29" s="19" customFormat="1" ht="13.5">
      <c r="A62" s="20"/>
      <c r="B62" s="16"/>
      <c r="C62" s="16"/>
      <c r="D62" s="16"/>
      <c r="E62" s="16"/>
      <c r="F62" s="16"/>
      <c r="G62" s="16"/>
      <c r="H62" s="16"/>
      <c r="I62" s="16"/>
      <c r="J62" s="16"/>
      <c r="K62" s="16"/>
      <c r="L62" s="16"/>
      <c r="M62" s="16"/>
      <c r="N62" s="18"/>
      <c r="O62" s="18"/>
      <c r="P62" s="18"/>
      <c r="Q62" s="18"/>
      <c r="R62" s="18"/>
      <c r="S62" s="18"/>
      <c r="T62" s="18"/>
      <c r="U62" s="18"/>
      <c r="V62" s="18"/>
      <c r="W62" s="18"/>
      <c r="X62" s="18"/>
      <c r="Y62" s="18"/>
      <c r="Z62" s="18"/>
      <c r="AA62" s="18"/>
      <c r="AB62" s="18"/>
      <c r="AC62" s="18"/>
    </row>
    <row r="63" spans="1:29" ht="16.5" thickBot="1"/>
    <row r="64" spans="1:29" ht="34.5" customHeight="1" thickBot="1">
      <c r="A64" s="188" t="s">
        <v>153</v>
      </c>
      <c r="B64" s="189"/>
      <c r="C64" s="189"/>
      <c r="D64" s="189"/>
      <c r="E64" s="189"/>
      <c r="F64" s="189"/>
      <c r="G64" s="189"/>
      <c r="H64" s="189"/>
      <c r="I64" s="189"/>
      <c r="J64" s="189"/>
      <c r="K64" s="189"/>
      <c r="L64" s="189"/>
      <c r="M64" s="190"/>
    </row>
    <row r="65" spans="1:13" s="5" customFormat="1">
      <c r="A65" s="77"/>
      <c r="B65" s="191" t="s">
        <v>50</v>
      </c>
      <c r="C65" s="192"/>
      <c r="D65" s="192"/>
      <c r="E65" s="193"/>
      <c r="F65" s="191" t="s">
        <v>61</v>
      </c>
      <c r="G65" s="192"/>
      <c r="H65" s="192"/>
      <c r="I65" s="193"/>
      <c r="J65" s="191" t="s">
        <v>56</v>
      </c>
      <c r="K65" s="192"/>
      <c r="L65" s="192"/>
      <c r="M65" s="193"/>
    </row>
    <row r="66" spans="1:13" s="5" customFormat="1">
      <c r="A66" s="77"/>
      <c r="B66" s="85" t="s">
        <v>62</v>
      </c>
      <c r="C66" s="86" t="s">
        <v>63</v>
      </c>
      <c r="D66" s="86" t="s">
        <v>64</v>
      </c>
      <c r="E66" s="87" t="s">
        <v>65</v>
      </c>
      <c r="F66" s="85" t="s">
        <v>62</v>
      </c>
      <c r="G66" s="86" t="s">
        <v>63</v>
      </c>
      <c r="H66" s="86" t="s">
        <v>64</v>
      </c>
      <c r="I66" s="87" t="s">
        <v>65</v>
      </c>
      <c r="J66" s="85" t="s">
        <v>62</v>
      </c>
      <c r="K66" s="86" t="s">
        <v>63</v>
      </c>
      <c r="L66" s="86" t="s">
        <v>64</v>
      </c>
      <c r="M66" s="87" t="s">
        <v>65</v>
      </c>
    </row>
    <row r="67" spans="1:13" s="5" customFormat="1">
      <c r="A67" s="88"/>
      <c r="B67" s="85" t="s">
        <v>66</v>
      </c>
      <c r="C67" s="86" t="s">
        <v>66</v>
      </c>
      <c r="D67" s="86" t="s">
        <v>66</v>
      </c>
      <c r="E67" s="87" t="s">
        <v>67</v>
      </c>
      <c r="F67" s="85" t="s">
        <v>66</v>
      </c>
      <c r="G67" s="86" t="s">
        <v>66</v>
      </c>
      <c r="H67" s="86" t="s">
        <v>66</v>
      </c>
      <c r="I67" s="87" t="s">
        <v>67</v>
      </c>
      <c r="J67" s="85" t="s">
        <v>66</v>
      </c>
      <c r="K67" s="86" t="s">
        <v>66</v>
      </c>
      <c r="L67" s="86" t="s">
        <v>66</v>
      </c>
      <c r="M67" s="87" t="s">
        <v>67</v>
      </c>
    </row>
    <row r="68" spans="1:13" s="5" customFormat="1">
      <c r="A68" s="62" t="s">
        <v>68</v>
      </c>
      <c r="B68" s="130">
        <v>1308</v>
      </c>
      <c r="C68" s="129">
        <v>62</v>
      </c>
      <c r="D68" s="131">
        <v>1370</v>
      </c>
      <c r="E68" s="132">
        <v>114.16666666666667</v>
      </c>
      <c r="F68" s="130">
        <v>2160</v>
      </c>
      <c r="G68" s="129">
        <v>62</v>
      </c>
      <c r="H68" s="131">
        <v>2222</v>
      </c>
      <c r="I68" s="132">
        <v>185.16666666666666</v>
      </c>
      <c r="J68" s="130">
        <v>3924</v>
      </c>
      <c r="K68" s="129">
        <v>62</v>
      </c>
      <c r="L68" s="131">
        <v>3986</v>
      </c>
      <c r="M68" s="132">
        <v>332.16666666666669</v>
      </c>
    </row>
    <row r="69" spans="1:13" s="5" customFormat="1">
      <c r="A69" s="62" t="s">
        <v>69</v>
      </c>
      <c r="B69" s="130">
        <v>612</v>
      </c>
      <c r="C69" s="129">
        <v>341</v>
      </c>
      <c r="D69" s="131">
        <v>953</v>
      </c>
      <c r="E69" s="132">
        <v>79.416666666666671</v>
      </c>
      <c r="F69" s="130">
        <v>1224</v>
      </c>
      <c r="G69" s="129">
        <v>341</v>
      </c>
      <c r="H69" s="131">
        <v>1565</v>
      </c>
      <c r="I69" s="132">
        <v>130.41666666666666</v>
      </c>
      <c r="J69" s="130">
        <v>1860</v>
      </c>
      <c r="K69" s="129">
        <v>341</v>
      </c>
      <c r="L69" s="131">
        <v>2201</v>
      </c>
      <c r="M69" s="132">
        <v>183.41666666666666</v>
      </c>
    </row>
    <row r="70" spans="1:13" s="5" customFormat="1">
      <c r="A70" s="62" t="s">
        <v>74</v>
      </c>
      <c r="B70" s="130">
        <v>564</v>
      </c>
      <c r="C70" s="129">
        <v>504</v>
      </c>
      <c r="D70" s="131">
        <v>1068</v>
      </c>
      <c r="E70" s="132">
        <v>89</v>
      </c>
      <c r="F70" s="130">
        <v>1080</v>
      </c>
      <c r="G70" s="129">
        <v>504</v>
      </c>
      <c r="H70" s="131">
        <v>1584</v>
      </c>
      <c r="I70" s="132">
        <v>132</v>
      </c>
      <c r="J70" s="130">
        <v>1332</v>
      </c>
      <c r="K70" s="129">
        <v>1020</v>
      </c>
      <c r="L70" s="131">
        <v>2352</v>
      </c>
      <c r="M70" s="132">
        <v>196</v>
      </c>
    </row>
    <row r="71" spans="1:13" s="5" customFormat="1">
      <c r="A71" s="62" t="s">
        <v>0</v>
      </c>
      <c r="B71" s="130">
        <v>840</v>
      </c>
      <c r="C71" s="129">
        <v>456</v>
      </c>
      <c r="D71" s="131">
        <v>1296</v>
      </c>
      <c r="E71" s="132">
        <v>108</v>
      </c>
      <c r="F71" s="130">
        <v>1380</v>
      </c>
      <c r="G71" s="129">
        <v>540</v>
      </c>
      <c r="H71" s="131">
        <v>1920</v>
      </c>
      <c r="I71" s="132">
        <v>160</v>
      </c>
      <c r="J71" s="130">
        <v>1944</v>
      </c>
      <c r="K71" s="129">
        <v>576</v>
      </c>
      <c r="L71" s="131">
        <v>2520</v>
      </c>
      <c r="M71" s="132">
        <v>210</v>
      </c>
    </row>
    <row r="72" spans="1:13" s="5" customFormat="1">
      <c r="A72" s="62" t="s">
        <v>151</v>
      </c>
      <c r="B72" s="130">
        <v>804</v>
      </c>
      <c r="C72" s="129">
        <v>216</v>
      </c>
      <c r="D72" s="131">
        <v>1020</v>
      </c>
      <c r="E72" s="132">
        <v>85</v>
      </c>
      <c r="F72" s="130">
        <v>804</v>
      </c>
      <c r="G72" s="129">
        <v>2628</v>
      </c>
      <c r="H72" s="131">
        <v>3432</v>
      </c>
      <c r="I72" s="132">
        <v>286</v>
      </c>
      <c r="J72" s="130">
        <v>2400</v>
      </c>
      <c r="K72" s="129">
        <v>2412</v>
      </c>
      <c r="L72" s="131">
        <v>4812</v>
      </c>
      <c r="M72" s="132">
        <v>401</v>
      </c>
    </row>
    <row r="73" spans="1:13" s="5" customFormat="1">
      <c r="A73" s="62" t="s">
        <v>9</v>
      </c>
      <c r="B73" s="130">
        <v>768</v>
      </c>
      <c r="C73" s="129">
        <v>960</v>
      </c>
      <c r="D73" s="131">
        <v>1728</v>
      </c>
      <c r="E73" s="132">
        <v>144</v>
      </c>
      <c r="F73" s="130">
        <v>1476</v>
      </c>
      <c r="G73" s="129">
        <v>960</v>
      </c>
      <c r="H73" s="131">
        <v>2436</v>
      </c>
      <c r="I73" s="132">
        <v>203</v>
      </c>
      <c r="J73" s="130">
        <v>3348</v>
      </c>
      <c r="K73" s="129">
        <v>960</v>
      </c>
      <c r="L73" s="131">
        <v>4308</v>
      </c>
      <c r="M73" s="132">
        <v>359</v>
      </c>
    </row>
    <row r="74" spans="1:13" s="5" customFormat="1">
      <c r="A74" s="62" t="s">
        <v>38</v>
      </c>
      <c r="B74" s="130">
        <v>780</v>
      </c>
      <c r="C74" s="129">
        <v>606</v>
      </c>
      <c r="D74" s="131">
        <v>1386</v>
      </c>
      <c r="E74" s="132">
        <v>115.5</v>
      </c>
      <c r="F74" s="130">
        <v>1188</v>
      </c>
      <c r="G74" s="129">
        <v>606</v>
      </c>
      <c r="H74" s="131">
        <v>1794</v>
      </c>
      <c r="I74" s="132">
        <v>149.5</v>
      </c>
      <c r="J74" s="130">
        <v>1836</v>
      </c>
      <c r="K74" s="129">
        <v>606</v>
      </c>
      <c r="L74" s="131">
        <v>2442</v>
      </c>
      <c r="M74" s="132">
        <v>203.5</v>
      </c>
    </row>
    <row r="75" spans="1:13" s="5" customFormat="1">
      <c r="A75" s="62" t="s">
        <v>8</v>
      </c>
      <c r="B75" s="130">
        <v>1500</v>
      </c>
      <c r="C75" s="129">
        <v>0</v>
      </c>
      <c r="D75" s="131">
        <v>1500</v>
      </c>
      <c r="E75" s="132">
        <v>125</v>
      </c>
      <c r="F75" s="130">
        <v>1956</v>
      </c>
      <c r="G75" s="129">
        <v>0</v>
      </c>
      <c r="H75" s="131">
        <v>1956</v>
      </c>
      <c r="I75" s="132">
        <v>163</v>
      </c>
      <c r="J75" s="130">
        <v>3000</v>
      </c>
      <c r="K75" s="129">
        <v>0</v>
      </c>
      <c r="L75" s="131">
        <v>3000</v>
      </c>
      <c r="M75" s="132">
        <v>250</v>
      </c>
    </row>
    <row r="76" spans="1:13" s="5" customFormat="1">
      <c r="A76" s="62" t="s">
        <v>31</v>
      </c>
      <c r="B76" s="130">
        <v>804</v>
      </c>
      <c r="C76" s="129">
        <v>840</v>
      </c>
      <c r="D76" s="131">
        <v>1644</v>
      </c>
      <c r="E76" s="132">
        <v>137</v>
      </c>
      <c r="F76" s="130">
        <v>804</v>
      </c>
      <c r="G76" s="129">
        <v>1380</v>
      </c>
      <c r="H76" s="131">
        <v>2184</v>
      </c>
      <c r="I76" s="132">
        <v>182</v>
      </c>
      <c r="J76" s="130">
        <v>1236</v>
      </c>
      <c r="K76" s="129">
        <v>1380</v>
      </c>
      <c r="L76" s="131">
        <v>2616</v>
      </c>
      <c r="M76" s="132">
        <v>218</v>
      </c>
    </row>
    <row r="77" spans="1:13" s="5" customFormat="1">
      <c r="A77" s="62" t="s">
        <v>17</v>
      </c>
      <c r="B77" s="130">
        <v>720</v>
      </c>
      <c r="C77" s="129">
        <v>768</v>
      </c>
      <c r="D77" s="131">
        <v>1488</v>
      </c>
      <c r="E77" s="132">
        <v>124</v>
      </c>
      <c r="F77" s="130">
        <v>720</v>
      </c>
      <c r="G77" s="129">
        <v>1056</v>
      </c>
      <c r="H77" s="131">
        <v>1776</v>
      </c>
      <c r="I77" s="132">
        <v>148</v>
      </c>
      <c r="J77" s="130">
        <v>1104</v>
      </c>
      <c r="K77" s="129">
        <v>2352</v>
      </c>
      <c r="L77" s="131">
        <v>3456</v>
      </c>
      <c r="M77" s="132">
        <v>288</v>
      </c>
    </row>
    <row r="78" spans="1:13" s="5" customFormat="1">
      <c r="A78" s="62" t="s">
        <v>18</v>
      </c>
      <c r="B78" s="130">
        <v>888</v>
      </c>
      <c r="C78" s="129">
        <v>83</v>
      </c>
      <c r="D78" s="131">
        <v>971</v>
      </c>
      <c r="E78" s="132">
        <v>80.916666666666671</v>
      </c>
      <c r="F78" s="130">
        <v>1632</v>
      </c>
      <c r="G78" s="129">
        <v>83</v>
      </c>
      <c r="H78" s="131">
        <v>1715</v>
      </c>
      <c r="I78" s="132">
        <v>142.91666666666666</v>
      </c>
      <c r="J78" s="130">
        <v>1812</v>
      </c>
      <c r="K78" s="129">
        <v>83</v>
      </c>
      <c r="L78" s="131">
        <v>1895</v>
      </c>
      <c r="M78" s="132">
        <v>157.91666666666666</v>
      </c>
    </row>
    <row r="79" spans="1:13" s="5" customFormat="1">
      <c r="A79" s="62" t="s">
        <v>10</v>
      </c>
      <c r="B79" s="130">
        <v>924</v>
      </c>
      <c r="C79" s="129">
        <v>0</v>
      </c>
      <c r="D79" s="131">
        <v>924</v>
      </c>
      <c r="E79" s="132">
        <v>77</v>
      </c>
      <c r="F79" s="130">
        <v>1380</v>
      </c>
      <c r="G79" s="129">
        <v>0</v>
      </c>
      <c r="H79" s="131">
        <v>1380</v>
      </c>
      <c r="I79" s="132">
        <v>115</v>
      </c>
      <c r="J79" s="130">
        <v>1656</v>
      </c>
      <c r="K79" s="129">
        <v>0</v>
      </c>
      <c r="L79" s="131">
        <v>1656</v>
      </c>
      <c r="M79" s="132">
        <v>138</v>
      </c>
    </row>
    <row r="80" spans="1:13" s="5" customFormat="1">
      <c r="A80" s="62" t="s">
        <v>148</v>
      </c>
      <c r="B80" s="130">
        <v>780</v>
      </c>
      <c r="C80" s="129">
        <v>26</v>
      </c>
      <c r="D80" s="131">
        <v>806</v>
      </c>
      <c r="E80" s="132">
        <v>67.166666666666671</v>
      </c>
      <c r="F80" s="130">
        <v>1500</v>
      </c>
      <c r="G80" s="129">
        <v>26</v>
      </c>
      <c r="H80" s="131">
        <v>1526</v>
      </c>
      <c r="I80" s="132">
        <v>127.16666666666667</v>
      </c>
      <c r="J80" s="130">
        <v>2400</v>
      </c>
      <c r="K80" s="129">
        <v>26</v>
      </c>
      <c r="L80" s="131">
        <v>2426</v>
      </c>
      <c r="M80" s="132">
        <v>202.16666666666666</v>
      </c>
    </row>
    <row r="81" spans="1:13" s="5" customFormat="1">
      <c r="A81" s="62" t="s">
        <v>24</v>
      </c>
      <c r="B81" s="130">
        <v>1188</v>
      </c>
      <c r="C81" s="129">
        <v>0</v>
      </c>
      <c r="D81" s="131">
        <v>1188</v>
      </c>
      <c r="E81" s="132">
        <v>99</v>
      </c>
      <c r="F81" s="130">
        <v>2028</v>
      </c>
      <c r="G81" s="129">
        <v>0</v>
      </c>
      <c r="H81" s="131">
        <v>2028</v>
      </c>
      <c r="I81" s="132">
        <v>169</v>
      </c>
      <c r="J81" s="130">
        <v>3000</v>
      </c>
      <c r="K81" s="129">
        <v>0</v>
      </c>
      <c r="L81" s="131">
        <v>3000</v>
      </c>
      <c r="M81" s="132">
        <v>250</v>
      </c>
    </row>
    <row r="82" spans="1:13" s="5" customFormat="1">
      <c r="A82" s="62" t="s">
        <v>40</v>
      </c>
      <c r="B82" s="130">
        <v>900</v>
      </c>
      <c r="C82" s="129">
        <v>517</v>
      </c>
      <c r="D82" s="131">
        <v>1417</v>
      </c>
      <c r="E82" s="132">
        <v>118.08333333333333</v>
      </c>
      <c r="F82" s="130">
        <v>1500</v>
      </c>
      <c r="G82" s="129">
        <v>517</v>
      </c>
      <c r="H82" s="131">
        <v>2017</v>
      </c>
      <c r="I82" s="132">
        <v>168.08333333333334</v>
      </c>
      <c r="J82" s="130">
        <v>1944</v>
      </c>
      <c r="K82" s="129">
        <v>517</v>
      </c>
      <c r="L82" s="131">
        <v>2461</v>
      </c>
      <c r="M82" s="132">
        <v>205.08333333333334</v>
      </c>
    </row>
    <row r="83" spans="1:13" s="5" customFormat="1">
      <c r="A83" s="62" t="s">
        <v>70</v>
      </c>
      <c r="B83" s="130">
        <v>1392</v>
      </c>
      <c r="C83" s="129">
        <v>240</v>
      </c>
      <c r="D83" s="131">
        <v>1632</v>
      </c>
      <c r="E83" s="132">
        <v>136</v>
      </c>
      <c r="F83" s="130">
        <v>1392</v>
      </c>
      <c r="G83" s="129">
        <v>240</v>
      </c>
      <c r="H83" s="131">
        <v>1632</v>
      </c>
      <c r="I83" s="132">
        <v>136</v>
      </c>
      <c r="J83" s="130">
        <v>2412</v>
      </c>
      <c r="K83" s="129">
        <v>240</v>
      </c>
      <c r="L83" s="131">
        <v>2652</v>
      </c>
      <c r="M83" s="132">
        <v>221</v>
      </c>
    </row>
    <row r="84" spans="1:13" s="5" customFormat="1">
      <c r="A84" s="62" t="s">
        <v>71</v>
      </c>
      <c r="B84" s="130">
        <v>708</v>
      </c>
      <c r="C84" s="129">
        <v>797</v>
      </c>
      <c r="D84" s="131">
        <v>1505</v>
      </c>
      <c r="E84" s="132">
        <v>125.41666666666667</v>
      </c>
      <c r="F84" s="130">
        <v>1068</v>
      </c>
      <c r="G84" s="129">
        <v>797</v>
      </c>
      <c r="H84" s="131">
        <v>1865</v>
      </c>
      <c r="I84" s="132">
        <v>155.41666666666666</v>
      </c>
      <c r="J84" s="130">
        <v>1176</v>
      </c>
      <c r="K84" s="129">
        <v>797</v>
      </c>
      <c r="L84" s="131">
        <v>1973</v>
      </c>
      <c r="M84" s="132">
        <v>164.41666666666666</v>
      </c>
    </row>
    <row r="85" spans="1:13" s="5" customFormat="1">
      <c r="A85" s="62" t="s">
        <v>41</v>
      </c>
      <c r="B85" s="130">
        <v>672</v>
      </c>
      <c r="C85" s="129">
        <v>439</v>
      </c>
      <c r="D85" s="131">
        <v>1111</v>
      </c>
      <c r="E85" s="132">
        <v>92.583333333333329</v>
      </c>
      <c r="F85" s="130">
        <v>672</v>
      </c>
      <c r="G85" s="129">
        <v>727</v>
      </c>
      <c r="H85" s="131">
        <v>1399</v>
      </c>
      <c r="I85" s="132">
        <v>116.58333333333333</v>
      </c>
      <c r="J85" s="130">
        <v>1764</v>
      </c>
      <c r="K85" s="129">
        <v>727</v>
      </c>
      <c r="L85" s="131">
        <v>2491</v>
      </c>
      <c r="M85" s="132">
        <v>207.58333333333334</v>
      </c>
    </row>
    <row r="86" spans="1:13" s="5" customFormat="1">
      <c r="A86" s="62" t="s">
        <v>20</v>
      </c>
      <c r="B86" s="130">
        <v>600</v>
      </c>
      <c r="C86" s="129">
        <v>600</v>
      </c>
      <c r="D86" s="131">
        <v>1200</v>
      </c>
      <c r="E86" s="132">
        <v>100</v>
      </c>
      <c r="F86" s="130">
        <v>1200</v>
      </c>
      <c r="G86" s="129">
        <v>600</v>
      </c>
      <c r="H86" s="131">
        <v>1800</v>
      </c>
      <c r="I86" s="132">
        <v>150</v>
      </c>
      <c r="J86" s="130">
        <v>1920</v>
      </c>
      <c r="K86" s="129">
        <v>600</v>
      </c>
      <c r="L86" s="131">
        <v>2520</v>
      </c>
      <c r="M86" s="132">
        <v>210</v>
      </c>
    </row>
    <row r="87" spans="1:13" s="5" customFormat="1">
      <c r="A87" s="62" t="s">
        <v>19</v>
      </c>
      <c r="B87" s="130">
        <v>1164</v>
      </c>
      <c r="C87" s="129">
        <v>432</v>
      </c>
      <c r="D87" s="131">
        <v>1596</v>
      </c>
      <c r="E87" s="132">
        <v>133</v>
      </c>
      <c r="F87" s="130">
        <v>1164</v>
      </c>
      <c r="G87" s="129">
        <v>732</v>
      </c>
      <c r="H87" s="131">
        <v>1896</v>
      </c>
      <c r="I87" s="132">
        <v>158</v>
      </c>
      <c r="J87" s="130">
        <v>3564</v>
      </c>
      <c r="K87" s="129">
        <v>732</v>
      </c>
      <c r="L87" s="131">
        <v>4296</v>
      </c>
      <c r="M87" s="132">
        <v>358</v>
      </c>
    </row>
    <row r="88" spans="1:13" s="5" customFormat="1">
      <c r="A88" s="62" t="s">
        <v>32</v>
      </c>
      <c r="B88" s="130">
        <v>396</v>
      </c>
      <c r="C88" s="129">
        <v>624</v>
      </c>
      <c r="D88" s="131">
        <v>1020</v>
      </c>
      <c r="E88" s="132">
        <v>85</v>
      </c>
      <c r="F88" s="130">
        <v>1452</v>
      </c>
      <c r="G88" s="129">
        <v>720</v>
      </c>
      <c r="H88" s="131">
        <v>2172</v>
      </c>
      <c r="I88" s="132">
        <v>181</v>
      </c>
      <c r="J88" s="130">
        <v>1812</v>
      </c>
      <c r="K88" s="129">
        <v>918</v>
      </c>
      <c r="L88" s="131">
        <v>2730</v>
      </c>
      <c r="M88" s="132">
        <v>227.5</v>
      </c>
    </row>
    <row r="89" spans="1:13" s="5" customFormat="1">
      <c r="A89" s="62" t="s">
        <v>22</v>
      </c>
      <c r="B89" s="130">
        <v>1014</v>
      </c>
      <c r="C89" s="129">
        <v>153</v>
      </c>
      <c r="D89" s="131">
        <v>1167</v>
      </c>
      <c r="E89" s="132">
        <v>97.25</v>
      </c>
      <c r="F89" s="130">
        <v>2004</v>
      </c>
      <c r="G89" s="129">
        <v>153</v>
      </c>
      <c r="H89" s="131">
        <v>2157</v>
      </c>
      <c r="I89" s="132">
        <v>179.75</v>
      </c>
      <c r="J89" s="130">
        <v>2348</v>
      </c>
      <c r="K89" s="129">
        <v>153</v>
      </c>
      <c r="L89" s="131">
        <v>2501</v>
      </c>
      <c r="M89" s="132">
        <v>208.41666666666666</v>
      </c>
    </row>
    <row r="90" spans="1:13" s="5" customFormat="1">
      <c r="A90" s="62" t="s">
        <v>13</v>
      </c>
      <c r="B90" s="130">
        <v>1080</v>
      </c>
      <c r="C90" s="129">
        <v>444</v>
      </c>
      <c r="D90" s="131">
        <v>1524</v>
      </c>
      <c r="E90" s="132">
        <v>127</v>
      </c>
      <c r="F90" s="130">
        <v>2028</v>
      </c>
      <c r="G90" s="129">
        <v>1392</v>
      </c>
      <c r="H90" s="131">
        <v>3420</v>
      </c>
      <c r="I90" s="132">
        <v>285</v>
      </c>
      <c r="J90" s="130">
        <v>2628</v>
      </c>
      <c r="K90" s="129">
        <v>1392</v>
      </c>
      <c r="L90" s="131">
        <v>4020</v>
      </c>
      <c r="M90" s="132">
        <v>335</v>
      </c>
    </row>
    <row r="91" spans="1:13" s="5" customFormat="1">
      <c r="A91" s="62" t="s">
        <v>30</v>
      </c>
      <c r="B91" s="130">
        <v>600</v>
      </c>
      <c r="C91" s="129">
        <v>1050</v>
      </c>
      <c r="D91" s="131">
        <v>1650</v>
      </c>
      <c r="E91" s="132">
        <v>137.5</v>
      </c>
      <c r="F91" s="130">
        <v>1200</v>
      </c>
      <c r="G91" s="129">
        <v>1050</v>
      </c>
      <c r="H91" s="131">
        <v>2250</v>
      </c>
      <c r="I91" s="132">
        <v>187.5</v>
      </c>
      <c r="J91" s="130">
        <v>1824</v>
      </c>
      <c r="K91" s="129">
        <v>1050</v>
      </c>
      <c r="L91" s="131">
        <v>2874</v>
      </c>
      <c r="M91" s="132">
        <v>239.5</v>
      </c>
    </row>
    <row r="92" spans="1:13" s="5" customFormat="1">
      <c r="A92" s="62" t="s">
        <v>35</v>
      </c>
      <c r="B92" s="130">
        <v>708</v>
      </c>
      <c r="C92" s="129">
        <v>784</v>
      </c>
      <c r="D92" s="131">
        <v>1492</v>
      </c>
      <c r="E92" s="132">
        <v>124.33333333333333</v>
      </c>
      <c r="F92" s="130">
        <v>1566</v>
      </c>
      <c r="G92" s="129">
        <v>0</v>
      </c>
      <c r="H92" s="131">
        <v>1566</v>
      </c>
      <c r="I92" s="132">
        <v>130.5</v>
      </c>
      <c r="J92" s="130">
        <v>1776</v>
      </c>
      <c r="K92" s="129">
        <v>0</v>
      </c>
      <c r="L92" s="131">
        <v>1776</v>
      </c>
      <c r="M92" s="132">
        <v>148</v>
      </c>
    </row>
    <row r="93" spans="1:13" s="5" customFormat="1">
      <c r="A93" s="62" t="s">
        <v>147</v>
      </c>
      <c r="B93" s="130">
        <v>1332</v>
      </c>
      <c r="C93" s="129">
        <v>30</v>
      </c>
      <c r="D93" s="131">
        <v>1362</v>
      </c>
      <c r="E93" s="132">
        <v>113.5</v>
      </c>
      <c r="F93" s="130">
        <v>2988</v>
      </c>
      <c r="G93" s="129">
        <v>30</v>
      </c>
      <c r="H93" s="131">
        <v>3018</v>
      </c>
      <c r="I93" s="132">
        <v>251.5</v>
      </c>
      <c r="J93" s="130">
        <v>3756</v>
      </c>
      <c r="K93" s="129">
        <v>30</v>
      </c>
      <c r="L93" s="131">
        <v>3786</v>
      </c>
      <c r="M93" s="132">
        <v>315.5</v>
      </c>
    </row>
    <row r="94" spans="1:13" s="5" customFormat="1">
      <c r="A94" s="62" t="s">
        <v>28</v>
      </c>
      <c r="B94" s="130">
        <v>1272</v>
      </c>
      <c r="C94" s="129">
        <v>192</v>
      </c>
      <c r="D94" s="131">
        <v>1464</v>
      </c>
      <c r="E94" s="132">
        <v>122</v>
      </c>
      <c r="F94" s="130">
        <v>1488</v>
      </c>
      <c r="G94" s="129">
        <v>192</v>
      </c>
      <c r="H94" s="131">
        <v>1680</v>
      </c>
      <c r="I94" s="132">
        <v>140</v>
      </c>
      <c r="J94" s="130">
        <v>2172</v>
      </c>
      <c r="K94" s="129">
        <v>192</v>
      </c>
      <c r="L94" s="131">
        <v>2364</v>
      </c>
      <c r="M94" s="132">
        <v>197</v>
      </c>
    </row>
    <row r="95" spans="1:13" s="5" customFormat="1">
      <c r="A95" s="62" t="s">
        <v>21</v>
      </c>
      <c r="B95" s="130">
        <v>852</v>
      </c>
      <c r="C95" s="129">
        <v>360</v>
      </c>
      <c r="D95" s="131">
        <v>1212</v>
      </c>
      <c r="E95" s="132">
        <v>101</v>
      </c>
      <c r="F95" s="130">
        <v>1548</v>
      </c>
      <c r="G95" s="129">
        <v>360</v>
      </c>
      <c r="H95" s="131">
        <v>1908</v>
      </c>
      <c r="I95" s="132">
        <v>159</v>
      </c>
      <c r="J95" s="130">
        <v>2052</v>
      </c>
      <c r="K95" s="129">
        <v>360</v>
      </c>
      <c r="L95" s="131">
        <v>2412</v>
      </c>
      <c r="M95" s="132">
        <v>201</v>
      </c>
    </row>
    <row r="96" spans="1:13" s="5" customFormat="1">
      <c r="A96" s="62" t="s">
        <v>5</v>
      </c>
      <c r="B96" s="130">
        <v>540</v>
      </c>
      <c r="C96" s="129">
        <v>673</v>
      </c>
      <c r="D96" s="131">
        <v>1213</v>
      </c>
      <c r="E96" s="132">
        <v>101.08333333333333</v>
      </c>
      <c r="F96" s="130">
        <v>648</v>
      </c>
      <c r="G96" s="129">
        <v>1249</v>
      </c>
      <c r="H96" s="131">
        <v>1897</v>
      </c>
      <c r="I96" s="132">
        <v>158.08333333333334</v>
      </c>
      <c r="J96" s="130">
        <v>1392</v>
      </c>
      <c r="K96" s="129">
        <v>1249</v>
      </c>
      <c r="L96" s="131">
        <v>2641</v>
      </c>
      <c r="M96" s="132">
        <v>220.08333333333334</v>
      </c>
    </row>
    <row r="97" spans="1:13" s="5" customFormat="1">
      <c r="A97" s="62" t="s">
        <v>6</v>
      </c>
      <c r="B97" s="130">
        <v>684</v>
      </c>
      <c r="C97" s="129">
        <v>660</v>
      </c>
      <c r="D97" s="131">
        <v>1344</v>
      </c>
      <c r="E97" s="132">
        <v>112</v>
      </c>
      <c r="F97" s="130">
        <v>684</v>
      </c>
      <c r="G97" s="129">
        <v>1860</v>
      </c>
      <c r="H97" s="131">
        <v>2544</v>
      </c>
      <c r="I97" s="132">
        <v>212</v>
      </c>
      <c r="J97" s="130">
        <v>684</v>
      </c>
      <c r="K97" s="129">
        <v>3120</v>
      </c>
      <c r="L97" s="131">
        <v>3804</v>
      </c>
      <c r="M97" s="132">
        <v>317</v>
      </c>
    </row>
    <row r="98" spans="1:13" s="5" customFormat="1">
      <c r="A98" s="62" t="s">
        <v>42</v>
      </c>
      <c r="B98" s="130">
        <v>660</v>
      </c>
      <c r="C98" s="129">
        <v>833</v>
      </c>
      <c r="D98" s="131">
        <v>1493</v>
      </c>
      <c r="E98" s="132">
        <v>124.41666666666667</v>
      </c>
      <c r="F98" s="130">
        <v>1404</v>
      </c>
      <c r="G98" s="129">
        <v>833</v>
      </c>
      <c r="H98" s="131">
        <v>2237</v>
      </c>
      <c r="I98" s="132">
        <v>186.41666666666666</v>
      </c>
      <c r="J98" s="130">
        <v>1980</v>
      </c>
      <c r="K98" s="129">
        <v>833</v>
      </c>
      <c r="L98" s="131">
        <v>2813</v>
      </c>
      <c r="M98" s="132">
        <v>234.41666666666666</v>
      </c>
    </row>
    <row r="99" spans="1:13" s="5" customFormat="1">
      <c r="A99" s="62" t="s">
        <v>23</v>
      </c>
      <c r="B99" s="130">
        <v>948</v>
      </c>
      <c r="C99" s="129">
        <v>396</v>
      </c>
      <c r="D99" s="131">
        <v>1344</v>
      </c>
      <c r="E99" s="132">
        <v>112</v>
      </c>
      <c r="F99" s="130">
        <v>1620</v>
      </c>
      <c r="G99" s="129">
        <v>396</v>
      </c>
      <c r="H99" s="131">
        <v>2016</v>
      </c>
      <c r="I99" s="132">
        <v>168</v>
      </c>
      <c r="J99" s="130">
        <v>2142</v>
      </c>
      <c r="K99" s="129">
        <v>396</v>
      </c>
      <c r="L99" s="131">
        <v>2538</v>
      </c>
      <c r="M99" s="132">
        <v>211.5</v>
      </c>
    </row>
    <row r="100" spans="1:13" s="5" customFormat="1">
      <c r="A100" s="62" t="s">
        <v>25</v>
      </c>
      <c r="B100" s="130">
        <v>396</v>
      </c>
      <c r="C100" s="129">
        <v>816</v>
      </c>
      <c r="D100" s="131">
        <v>1212</v>
      </c>
      <c r="E100" s="132">
        <v>101</v>
      </c>
      <c r="F100" s="130">
        <v>396</v>
      </c>
      <c r="G100" s="129">
        <v>1716</v>
      </c>
      <c r="H100" s="131">
        <v>2112</v>
      </c>
      <c r="I100" s="132">
        <v>176</v>
      </c>
      <c r="J100" s="130">
        <v>396</v>
      </c>
      <c r="K100" s="129">
        <v>2304</v>
      </c>
      <c r="L100" s="131">
        <v>2700</v>
      </c>
      <c r="M100" s="132">
        <v>225</v>
      </c>
    </row>
    <row r="101" spans="1:13" s="5" customFormat="1">
      <c r="A101" s="62" t="s">
        <v>36</v>
      </c>
      <c r="B101" s="130">
        <v>780</v>
      </c>
      <c r="C101" s="129">
        <v>300</v>
      </c>
      <c r="D101" s="131">
        <v>1080</v>
      </c>
      <c r="E101" s="132">
        <v>90</v>
      </c>
      <c r="F101" s="130">
        <v>780</v>
      </c>
      <c r="G101" s="129">
        <v>900</v>
      </c>
      <c r="H101" s="131">
        <v>1680</v>
      </c>
      <c r="I101" s="132">
        <v>140</v>
      </c>
      <c r="J101" s="130">
        <v>1980</v>
      </c>
      <c r="K101" s="129">
        <v>300</v>
      </c>
      <c r="L101" s="131">
        <v>2280</v>
      </c>
      <c r="M101" s="132">
        <v>190</v>
      </c>
    </row>
    <row r="102" spans="1:13" s="5" customFormat="1">
      <c r="A102" s="62" t="s">
        <v>39</v>
      </c>
      <c r="B102" s="130">
        <v>900</v>
      </c>
      <c r="C102" s="129">
        <v>155</v>
      </c>
      <c r="D102" s="131">
        <v>1055</v>
      </c>
      <c r="E102" s="132">
        <v>87.916666666666671</v>
      </c>
      <c r="F102" s="130">
        <v>2160</v>
      </c>
      <c r="G102" s="129">
        <v>575</v>
      </c>
      <c r="H102" s="131">
        <v>2735</v>
      </c>
      <c r="I102" s="132">
        <v>227.91666666666666</v>
      </c>
      <c r="J102" s="130">
        <v>3000</v>
      </c>
      <c r="K102" s="129">
        <v>575</v>
      </c>
      <c r="L102" s="131">
        <v>3575</v>
      </c>
      <c r="M102" s="132">
        <v>297.91666666666669</v>
      </c>
    </row>
    <row r="103" spans="1:13" s="5" customFormat="1">
      <c r="A103" s="62" t="s">
        <v>37</v>
      </c>
      <c r="B103" s="130">
        <v>996</v>
      </c>
      <c r="C103" s="129">
        <v>0</v>
      </c>
      <c r="D103" s="131">
        <v>996</v>
      </c>
      <c r="E103" s="132">
        <v>83</v>
      </c>
      <c r="F103" s="130">
        <v>1720</v>
      </c>
      <c r="G103" s="129">
        <v>0</v>
      </c>
      <c r="H103" s="131">
        <v>1720</v>
      </c>
      <c r="I103" s="132">
        <v>143.33333333333334</v>
      </c>
      <c r="J103" s="130">
        <v>2676</v>
      </c>
      <c r="K103" s="129">
        <v>0</v>
      </c>
      <c r="L103" s="131">
        <v>2676</v>
      </c>
      <c r="M103" s="132">
        <v>223</v>
      </c>
    </row>
    <row r="104" spans="1:13" s="5" customFormat="1">
      <c r="A104" s="62" t="s">
        <v>12</v>
      </c>
      <c r="B104" s="130">
        <v>348</v>
      </c>
      <c r="C104" s="129">
        <v>779</v>
      </c>
      <c r="D104" s="131">
        <v>1127</v>
      </c>
      <c r="E104" s="132">
        <v>93.916666666666671</v>
      </c>
      <c r="F104" s="130">
        <v>1368</v>
      </c>
      <c r="G104" s="129">
        <v>779</v>
      </c>
      <c r="H104" s="131">
        <v>2147</v>
      </c>
      <c r="I104" s="132">
        <v>178.91666666666666</v>
      </c>
      <c r="J104" s="130">
        <v>1560</v>
      </c>
      <c r="K104" s="129">
        <v>779</v>
      </c>
      <c r="L104" s="131">
        <v>2339</v>
      </c>
      <c r="M104" s="132">
        <v>194.91666666666666</v>
      </c>
    </row>
    <row r="105" spans="1:13" s="5" customFormat="1">
      <c r="A105" s="62" t="s">
        <v>27</v>
      </c>
      <c r="B105" s="130">
        <v>2101</v>
      </c>
      <c r="C105" s="129">
        <v>49</v>
      </c>
      <c r="D105" s="131">
        <v>2150</v>
      </c>
      <c r="E105" s="132">
        <v>179.16666666666666</v>
      </c>
      <c r="F105" s="130">
        <v>2233</v>
      </c>
      <c r="G105" s="129">
        <v>40</v>
      </c>
      <c r="H105" s="131">
        <v>2273</v>
      </c>
      <c r="I105" s="132">
        <v>189.41666666666666</v>
      </c>
      <c r="J105" s="130">
        <v>3143</v>
      </c>
      <c r="K105" s="129">
        <v>64</v>
      </c>
      <c r="L105" s="131">
        <v>3207</v>
      </c>
      <c r="M105" s="132">
        <v>267.25</v>
      </c>
    </row>
    <row r="106" spans="1:13" s="5" customFormat="1">
      <c r="A106" s="62" t="s">
        <v>72</v>
      </c>
      <c r="B106" s="130">
        <v>780</v>
      </c>
      <c r="C106" s="129">
        <v>543</v>
      </c>
      <c r="D106" s="131">
        <v>1323</v>
      </c>
      <c r="E106" s="132">
        <v>110.25</v>
      </c>
      <c r="F106" s="130">
        <v>780</v>
      </c>
      <c r="G106" s="129">
        <v>1383</v>
      </c>
      <c r="H106" s="131">
        <v>2163</v>
      </c>
      <c r="I106" s="132">
        <v>180.25</v>
      </c>
      <c r="J106" s="130">
        <v>2604</v>
      </c>
      <c r="K106" s="129">
        <v>543</v>
      </c>
      <c r="L106" s="131">
        <v>3147</v>
      </c>
      <c r="M106" s="132">
        <v>262.25</v>
      </c>
    </row>
    <row r="107" spans="1:13" s="5" customFormat="1">
      <c r="A107" s="62" t="s">
        <v>34</v>
      </c>
      <c r="B107" s="130">
        <v>888</v>
      </c>
      <c r="C107" s="129">
        <v>0</v>
      </c>
      <c r="D107" s="131">
        <v>888</v>
      </c>
      <c r="E107" s="132">
        <v>74</v>
      </c>
      <c r="F107" s="130">
        <v>1632</v>
      </c>
      <c r="G107" s="129">
        <v>0</v>
      </c>
      <c r="H107" s="131">
        <v>1632</v>
      </c>
      <c r="I107" s="132">
        <v>136</v>
      </c>
      <c r="J107" s="130">
        <v>3780</v>
      </c>
      <c r="K107" s="129">
        <v>0</v>
      </c>
      <c r="L107" s="131">
        <v>3780</v>
      </c>
      <c r="M107" s="132">
        <v>315</v>
      </c>
    </row>
    <row r="108" spans="1:13" s="5" customFormat="1">
      <c r="A108" s="62" t="s">
        <v>135</v>
      </c>
      <c r="B108" s="130">
        <v>660</v>
      </c>
      <c r="C108" s="129">
        <v>840</v>
      </c>
      <c r="D108" s="131">
        <v>1500</v>
      </c>
      <c r="E108" s="132">
        <v>125</v>
      </c>
      <c r="F108" s="130">
        <v>660</v>
      </c>
      <c r="G108" s="129">
        <v>1860</v>
      </c>
      <c r="H108" s="131">
        <v>2520</v>
      </c>
      <c r="I108" s="132">
        <v>210</v>
      </c>
      <c r="J108" s="130">
        <v>1416</v>
      </c>
      <c r="K108" s="129">
        <v>2196</v>
      </c>
      <c r="L108" s="131">
        <v>3612</v>
      </c>
      <c r="M108" s="132">
        <v>301</v>
      </c>
    </row>
    <row r="109" spans="1:13" s="5" customFormat="1">
      <c r="A109" s="62" t="s">
        <v>33</v>
      </c>
      <c r="B109" s="130">
        <v>756</v>
      </c>
      <c r="C109" s="129">
        <v>482</v>
      </c>
      <c r="D109" s="131">
        <v>1238</v>
      </c>
      <c r="E109" s="132">
        <v>103.16666666666667</v>
      </c>
      <c r="F109" s="130">
        <v>852</v>
      </c>
      <c r="G109" s="129">
        <v>1106</v>
      </c>
      <c r="H109" s="131">
        <v>1958</v>
      </c>
      <c r="I109" s="132">
        <v>163.16666666666666</v>
      </c>
      <c r="J109" s="130">
        <v>960</v>
      </c>
      <c r="K109" s="129">
        <v>1706</v>
      </c>
      <c r="L109" s="131">
        <v>2666</v>
      </c>
      <c r="M109" s="132">
        <v>222.16666666666666</v>
      </c>
    </row>
    <row r="110" spans="1:13" s="5" customFormat="1">
      <c r="A110" s="62" t="s">
        <v>152</v>
      </c>
      <c r="B110" s="130">
        <v>600</v>
      </c>
      <c r="C110" s="129">
        <v>1049</v>
      </c>
      <c r="D110" s="131">
        <v>1649</v>
      </c>
      <c r="E110" s="132">
        <v>137.41666666666666</v>
      </c>
      <c r="F110" s="130">
        <v>900</v>
      </c>
      <c r="G110" s="129">
        <v>1049</v>
      </c>
      <c r="H110" s="131">
        <v>1949</v>
      </c>
      <c r="I110" s="132">
        <v>162.41666666666666</v>
      </c>
      <c r="J110" s="130">
        <v>1500</v>
      </c>
      <c r="K110" s="129">
        <v>1049</v>
      </c>
      <c r="L110" s="131">
        <v>2549</v>
      </c>
      <c r="M110" s="132">
        <v>212.41666666666666</v>
      </c>
    </row>
    <row r="111" spans="1:13" s="5" customFormat="1">
      <c r="A111" s="62" t="s">
        <v>11</v>
      </c>
      <c r="B111" s="130">
        <v>468</v>
      </c>
      <c r="C111" s="129">
        <v>588</v>
      </c>
      <c r="D111" s="131">
        <v>1056</v>
      </c>
      <c r="E111" s="132">
        <v>88</v>
      </c>
      <c r="F111" s="130">
        <v>468</v>
      </c>
      <c r="G111" s="129">
        <v>1500</v>
      </c>
      <c r="H111" s="131">
        <v>1968</v>
      </c>
      <c r="I111" s="132">
        <v>164</v>
      </c>
      <c r="J111" s="130">
        <v>1380</v>
      </c>
      <c r="K111" s="129">
        <v>588</v>
      </c>
      <c r="L111" s="131">
        <v>1968</v>
      </c>
      <c r="M111" s="132">
        <v>164</v>
      </c>
    </row>
    <row r="112" spans="1:13" s="5" customFormat="1">
      <c r="A112" s="62" t="s">
        <v>29</v>
      </c>
      <c r="B112" s="130">
        <v>444</v>
      </c>
      <c r="C112" s="129">
        <v>828</v>
      </c>
      <c r="D112" s="131">
        <v>1272</v>
      </c>
      <c r="E112" s="132">
        <v>106</v>
      </c>
      <c r="F112" s="130">
        <v>480</v>
      </c>
      <c r="G112" s="129">
        <v>1548</v>
      </c>
      <c r="H112" s="131">
        <v>2028</v>
      </c>
      <c r="I112" s="132">
        <v>169</v>
      </c>
      <c r="J112" s="130">
        <v>780</v>
      </c>
      <c r="K112" s="129">
        <v>1548</v>
      </c>
      <c r="L112" s="131">
        <v>2328</v>
      </c>
      <c r="M112" s="132">
        <v>194</v>
      </c>
    </row>
    <row r="113" spans="1:29">
      <c r="A113" s="62" t="s">
        <v>14</v>
      </c>
      <c r="B113" s="130">
        <v>720</v>
      </c>
      <c r="C113" s="129">
        <v>600</v>
      </c>
      <c r="D113" s="131">
        <v>1320</v>
      </c>
      <c r="E113" s="132">
        <v>110</v>
      </c>
      <c r="F113" s="130">
        <v>1200</v>
      </c>
      <c r="G113" s="129">
        <v>600</v>
      </c>
      <c r="H113" s="131">
        <v>1800</v>
      </c>
      <c r="I113" s="132">
        <v>150</v>
      </c>
      <c r="J113" s="130">
        <v>1920</v>
      </c>
      <c r="K113" s="129">
        <v>600</v>
      </c>
      <c r="L113" s="131">
        <v>2520</v>
      </c>
      <c r="M113" s="132">
        <v>210</v>
      </c>
    </row>
    <row r="114" spans="1:29">
      <c r="A114" s="62" t="s">
        <v>16</v>
      </c>
      <c r="B114" s="130">
        <v>720</v>
      </c>
      <c r="C114" s="129">
        <v>768</v>
      </c>
      <c r="D114" s="131">
        <v>1488</v>
      </c>
      <c r="E114" s="132">
        <v>124</v>
      </c>
      <c r="F114" s="130">
        <v>720</v>
      </c>
      <c r="G114" s="129">
        <v>1500</v>
      </c>
      <c r="H114" s="131">
        <v>2220</v>
      </c>
      <c r="I114" s="132">
        <v>185</v>
      </c>
      <c r="J114" s="130">
        <v>1896</v>
      </c>
      <c r="K114" s="129">
        <v>768</v>
      </c>
      <c r="L114" s="131">
        <v>2664</v>
      </c>
      <c r="M114" s="132">
        <v>222</v>
      </c>
    </row>
    <row r="115" spans="1:29">
      <c r="A115" s="62" t="s">
        <v>7</v>
      </c>
      <c r="B115" s="130">
        <v>1500</v>
      </c>
      <c r="C115" s="129">
        <v>760</v>
      </c>
      <c r="D115" s="131">
        <v>2260</v>
      </c>
      <c r="E115" s="132">
        <v>188.33333333333334</v>
      </c>
      <c r="F115" s="130">
        <v>2640</v>
      </c>
      <c r="G115" s="129">
        <v>760</v>
      </c>
      <c r="H115" s="131">
        <v>3400</v>
      </c>
      <c r="I115" s="132">
        <v>283.33333333333331</v>
      </c>
      <c r="J115" s="130">
        <v>3744</v>
      </c>
      <c r="K115" s="129">
        <v>760</v>
      </c>
      <c r="L115" s="131">
        <v>4504</v>
      </c>
      <c r="M115" s="132">
        <v>375.33333333333331</v>
      </c>
    </row>
    <row r="116" spans="1:29">
      <c r="A116" s="62" t="s">
        <v>15</v>
      </c>
      <c r="B116" s="130">
        <v>828</v>
      </c>
      <c r="C116" s="129">
        <v>492</v>
      </c>
      <c r="D116" s="131">
        <v>1320</v>
      </c>
      <c r="E116" s="132">
        <v>110</v>
      </c>
      <c r="F116" s="130">
        <v>1428</v>
      </c>
      <c r="G116" s="129">
        <v>528</v>
      </c>
      <c r="H116" s="131">
        <v>1956</v>
      </c>
      <c r="I116" s="132">
        <v>163</v>
      </c>
      <c r="J116" s="130">
        <v>1932</v>
      </c>
      <c r="K116" s="129">
        <v>528</v>
      </c>
      <c r="L116" s="131">
        <v>2460</v>
      </c>
      <c r="M116" s="132">
        <v>205</v>
      </c>
    </row>
    <row r="117" spans="1:29">
      <c r="A117" s="62" t="s">
        <v>26</v>
      </c>
      <c r="B117" s="130">
        <v>384</v>
      </c>
      <c r="C117" s="129">
        <v>1344</v>
      </c>
      <c r="D117" s="131">
        <v>1596</v>
      </c>
      <c r="E117" s="132">
        <v>133</v>
      </c>
      <c r="F117" s="130">
        <v>384</v>
      </c>
      <c r="G117" s="129">
        <v>2016</v>
      </c>
      <c r="H117" s="131">
        <v>2328</v>
      </c>
      <c r="I117" s="132">
        <v>194</v>
      </c>
      <c r="J117" s="130">
        <v>1008</v>
      </c>
      <c r="K117" s="129">
        <v>2016</v>
      </c>
      <c r="L117" s="131">
        <v>2952</v>
      </c>
      <c r="M117" s="132">
        <v>246</v>
      </c>
    </row>
    <row r="118" spans="1:29" ht="16.5" thickBot="1">
      <c r="A118" s="26" t="s">
        <v>73</v>
      </c>
      <c r="B118" s="124">
        <f>AVERAGE(B68:B117)</f>
        <v>845.42</v>
      </c>
      <c r="C118" s="125">
        <f>AVERAGEIF(C68:C117, "&gt;0", C68:C117)</f>
        <v>543.97777777777776</v>
      </c>
      <c r="D118" s="125">
        <f t="shared" ref="D118" si="8">B118+C118</f>
        <v>1389.3977777777777</v>
      </c>
      <c r="E118" s="126">
        <f>D118/12</f>
        <v>115.78314814814814</v>
      </c>
      <c r="F118" s="124">
        <f>AVERAGE(F68:F117)</f>
        <v>1315.18</v>
      </c>
      <c r="G118" s="125">
        <f>AVERAGEIF(G68:G117, "&gt;0", G68:G117)</f>
        <v>861.22727272727275</v>
      </c>
      <c r="H118" s="125">
        <f>F118+G118</f>
        <v>2176.4072727272728</v>
      </c>
      <c r="I118" s="126">
        <f>H118/12</f>
        <v>181.36727272727273</v>
      </c>
      <c r="J118" s="124">
        <f>AVERAGE(J68:J117)</f>
        <v>2077.46</v>
      </c>
      <c r="K118" s="125">
        <f>AVERAGEIF(K68:K117, "&gt;0", K68:K117)</f>
        <v>896.5454545454545</v>
      </c>
      <c r="L118" s="125">
        <f>J118+K118</f>
        <v>2974.0054545454545</v>
      </c>
      <c r="M118" s="126">
        <f>L118/12</f>
        <v>247.83378787878789</v>
      </c>
    </row>
    <row r="119" spans="1:29" s="19" customFormat="1">
      <c r="A119" s="194" t="s">
        <v>154</v>
      </c>
      <c r="B119" s="195"/>
      <c r="C119" s="195"/>
      <c r="D119" s="195"/>
      <c r="E119" s="195"/>
      <c r="F119" s="195"/>
      <c r="G119" s="195"/>
      <c r="H119" s="195"/>
      <c r="I119" s="195"/>
      <c r="J119" s="195"/>
      <c r="K119" s="195"/>
      <c r="L119" s="195"/>
      <c r="M119" s="195"/>
      <c r="N119" s="18"/>
      <c r="O119" s="18"/>
      <c r="P119" s="18"/>
      <c r="Q119" s="18"/>
      <c r="R119" s="18"/>
      <c r="S119" s="18"/>
      <c r="T119" s="18"/>
      <c r="U119" s="18"/>
      <c r="V119" s="18"/>
      <c r="W119" s="18"/>
      <c r="X119" s="18"/>
      <c r="Y119" s="18"/>
      <c r="Z119" s="18"/>
      <c r="AA119" s="18"/>
      <c r="AB119" s="18"/>
      <c r="AC119" s="18"/>
    </row>
    <row r="120" spans="1:29" s="19" customFormat="1">
      <c r="A120" s="186" t="s">
        <v>57</v>
      </c>
      <c r="B120" s="187"/>
      <c r="C120" s="187"/>
      <c r="D120" s="187"/>
      <c r="E120" s="187"/>
      <c r="F120" s="187"/>
      <c r="G120" s="187"/>
      <c r="H120" s="187"/>
      <c r="I120" s="187"/>
      <c r="J120" s="187"/>
      <c r="K120" s="187"/>
      <c r="L120" s="187"/>
      <c r="M120" s="187"/>
      <c r="N120" s="18"/>
      <c r="O120" s="18"/>
      <c r="P120" s="18"/>
      <c r="Q120" s="18"/>
      <c r="R120" s="18"/>
      <c r="S120" s="18"/>
      <c r="T120" s="18"/>
      <c r="U120" s="18"/>
      <c r="V120" s="18"/>
      <c r="W120" s="18"/>
      <c r="X120" s="18"/>
      <c r="Y120" s="18"/>
      <c r="Z120" s="18"/>
      <c r="AA120" s="18"/>
      <c r="AB120" s="18"/>
      <c r="AC120" s="18"/>
    </row>
    <row r="121" spans="1:29" s="19" customFormat="1">
      <c r="A121" s="186" t="s">
        <v>58</v>
      </c>
      <c r="B121" s="187"/>
      <c r="C121" s="187"/>
      <c r="D121" s="187"/>
      <c r="E121" s="187"/>
      <c r="F121" s="187"/>
      <c r="G121" s="187"/>
      <c r="H121" s="187"/>
      <c r="I121" s="187"/>
      <c r="J121" s="187"/>
      <c r="K121" s="187"/>
      <c r="L121" s="187"/>
      <c r="M121" s="187"/>
      <c r="N121" s="18"/>
      <c r="O121" s="18"/>
      <c r="P121" s="18"/>
      <c r="Q121" s="18"/>
      <c r="R121" s="18"/>
      <c r="S121" s="18"/>
      <c r="T121" s="18"/>
      <c r="U121" s="18"/>
      <c r="V121" s="18"/>
      <c r="W121" s="18"/>
      <c r="X121" s="18"/>
      <c r="Y121" s="18"/>
      <c r="Z121" s="18"/>
      <c r="AA121" s="18"/>
      <c r="AB121" s="18"/>
      <c r="AC121" s="18"/>
    </row>
    <row r="122" spans="1:29" s="19" customFormat="1">
      <c r="A122" s="186" t="s">
        <v>155</v>
      </c>
      <c r="B122" s="187"/>
      <c r="C122" s="187"/>
      <c r="D122" s="187"/>
      <c r="E122" s="187"/>
      <c r="F122" s="187"/>
      <c r="G122" s="187"/>
      <c r="H122" s="187"/>
      <c r="I122" s="187"/>
      <c r="J122" s="187"/>
      <c r="K122" s="187"/>
      <c r="L122" s="187"/>
      <c r="M122" s="187"/>
      <c r="N122" s="18"/>
      <c r="O122" s="18"/>
      <c r="P122" s="18"/>
      <c r="Q122" s="18"/>
      <c r="R122" s="18"/>
      <c r="S122" s="18"/>
      <c r="T122" s="18"/>
      <c r="U122" s="18"/>
      <c r="V122" s="18"/>
      <c r="W122" s="18"/>
      <c r="X122" s="18"/>
      <c r="Y122" s="18"/>
      <c r="Z122" s="18"/>
      <c r="AA122" s="18"/>
      <c r="AB122" s="18"/>
      <c r="AC122" s="18"/>
    </row>
    <row r="123" spans="1:29" s="19" customFormat="1">
      <c r="A123" s="186" t="s">
        <v>60</v>
      </c>
      <c r="B123" s="187"/>
      <c r="C123" s="187"/>
      <c r="D123" s="187"/>
      <c r="E123" s="187"/>
      <c r="F123" s="187"/>
      <c r="G123" s="187"/>
      <c r="H123" s="187"/>
      <c r="I123" s="187"/>
      <c r="J123" s="187"/>
      <c r="K123" s="187"/>
      <c r="L123" s="187"/>
      <c r="M123" s="187"/>
      <c r="N123" s="18"/>
      <c r="O123" s="18"/>
      <c r="P123" s="18"/>
      <c r="Q123" s="18"/>
      <c r="R123" s="18"/>
      <c r="S123" s="18"/>
      <c r="T123" s="18"/>
      <c r="U123" s="18"/>
      <c r="V123" s="18"/>
      <c r="W123" s="18"/>
      <c r="X123" s="18"/>
      <c r="Y123" s="18"/>
      <c r="Z123" s="18"/>
      <c r="AA123" s="18"/>
      <c r="AB123" s="18"/>
      <c r="AC123" s="18"/>
    </row>
    <row r="124" spans="1:29" s="19" customFormat="1">
      <c r="A124" s="186" t="s">
        <v>150</v>
      </c>
      <c r="B124" s="187"/>
      <c r="C124" s="187"/>
      <c r="D124" s="187"/>
      <c r="E124" s="187"/>
      <c r="F124" s="187"/>
      <c r="G124" s="187"/>
      <c r="H124" s="187"/>
      <c r="I124" s="187"/>
      <c r="J124" s="187"/>
      <c r="K124" s="187"/>
      <c r="L124" s="187"/>
      <c r="M124" s="187"/>
      <c r="N124" s="18"/>
      <c r="O124" s="18"/>
      <c r="P124" s="18"/>
      <c r="Q124" s="18"/>
      <c r="R124" s="18"/>
      <c r="S124" s="18"/>
      <c r="T124" s="18"/>
      <c r="U124" s="18"/>
      <c r="V124" s="18"/>
      <c r="W124" s="18"/>
      <c r="X124" s="18"/>
      <c r="Y124" s="18"/>
      <c r="Z124" s="18"/>
      <c r="AA124" s="18"/>
      <c r="AB124" s="18"/>
      <c r="AC124" s="18"/>
    </row>
    <row r="125" spans="1:29" s="19" customFormat="1">
      <c r="A125" s="62"/>
      <c r="B125" s="16"/>
      <c r="C125" s="16"/>
      <c r="D125" s="16"/>
      <c r="E125" s="16"/>
      <c r="F125" s="16"/>
      <c r="G125" s="16"/>
      <c r="H125" s="16"/>
      <c r="I125" s="16"/>
      <c r="J125" s="16"/>
      <c r="K125" s="16"/>
      <c r="L125" s="16"/>
      <c r="M125" s="16"/>
      <c r="N125" s="18"/>
      <c r="O125" s="18"/>
      <c r="P125" s="18"/>
      <c r="Q125" s="18"/>
      <c r="R125" s="18"/>
      <c r="S125" s="18"/>
      <c r="T125" s="18"/>
      <c r="U125" s="18"/>
      <c r="V125" s="18"/>
      <c r="W125" s="18"/>
      <c r="X125" s="18"/>
      <c r="Y125" s="18"/>
      <c r="Z125" s="18"/>
      <c r="AA125" s="18"/>
      <c r="AB125" s="18"/>
      <c r="AC125" s="18"/>
    </row>
    <row r="126" spans="1:29" s="19" customFormat="1">
      <c r="A126" s="62"/>
      <c r="B126" s="16"/>
      <c r="C126" s="16"/>
      <c r="D126" s="16"/>
      <c r="E126" s="16"/>
      <c r="F126" s="16"/>
      <c r="G126" s="16"/>
      <c r="H126" s="16"/>
      <c r="I126" s="16"/>
      <c r="J126" s="16"/>
      <c r="K126" s="16"/>
      <c r="L126" s="16"/>
      <c r="M126" s="16"/>
      <c r="N126" s="18"/>
      <c r="O126" s="18"/>
      <c r="P126" s="18"/>
      <c r="Q126" s="18"/>
      <c r="R126" s="18"/>
      <c r="S126" s="18"/>
      <c r="T126" s="18"/>
      <c r="U126" s="18"/>
      <c r="V126" s="18"/>
      <c r="W126" s="18"/>
      <c r="X126" s="18"/>
      <c r="Y126" s="18"/>
      <c r="Z126" s="18"/>
      <c r="AA126" s="18"/>
      <c r="AB126" s="18"/>
      <c r="AC126" s="18"/>
    </row>
    <row r="127" spans="1:29" s="19" customFormat="1">
      <c r="A127" s="62"/>
      <c r="B127" s="16"/>
      <c r="C127" s="16"/>
      <c r="D127" s="16"/>
      <c r="E127" s="16"/>
      <c r="F127" s="16"/>
      <c r="G127" s="16"/>
      <c r="H127" s="16"/>
      <c r="I127" s="16"/>
      <c r="J127" s="16"/>
      <c r="K127" s="16"/>
      <c r="L127" s="16"/>
      <c r="M127" s="16"/>
      <c r="N127" s="18"/>
      <c r="O127" s="18"/>
      <c r="P127" s="18"/>
      <c r="Q127" s="18"/>
      <c r="R127" s="18"/>
      <c r="S127" s="18"/>
      <c r="T127" s="18"/>
      <c r="U127" s="18"/>
      <c r="V127" s="18"/>
      <c r="W127" s="18"/>
      <c r="X127" s="18"/>
      <c r="Y127" s="18"/>
      <c r="Z127" s="18"/>
      <c r="AA127" s="18"/>
      <c r="AB127" s="18"/>
      <c r="AC127" s="18"/>
    </row>
    <row r="128" spans="1:29" s="19" customFormat="1">
      <c r="A128" s="62"/>
      <c r="B128" s="16"/>
      <c r="C128" s="16"/>
      <c r="D128" s="16"/>
      <c r="E128" s="16"/>
      <c r="F128" s="16"/>
      <c r="G128" s="16"/>
      <c r="H128" s="16"/>
      <c r="I128" s="16"/>
      <c r="J128" s="16"/>
      <c r="K128" s="16"/>
      <c r="L128" s="16"/>
      <c r="M128" s="16"/>
      <c r="N128" s="18"/>
      <c r="O128" s="18"/>
      <c r="P128" s="18"/>
      <c r="Q128" s="18"/>
      <c r="R128" s="18"/>
      <c r="S128" s="18"/>
      <c r="T128" s="18"/>
      <c r="U128" s="18"/>
      <c r="V128" s="18"/>
      <c r="W128" s="18"/>
      <c r="X128" s="18"/>
      <c r="Y128" s="18"/>
      <c r="Z128" s="18"/>
      <c r="AA128" s="18"/>
      <c r="AB128" s="18"/>
      <c r="AC128" s="18"/>
    </row>
    <row r="129" spans="1:29" s="19" customFormat="1">
      <c r="A129" s="62"/>
      <c r="B129" s="16"/>
      <c r="C129" s="16"/>
      <c r="D129" s="16"/>
      <c r="E129" s="16"/>
      <c r="F129" s="16"/>
      <c r="G129" s="16"/>
      <c r="H129" s="16"/>
      <c r="I129" s="16"/>
      <c r="J129" s="16"/>
      <c r="K129" s="16"/>
      <c r="L129" s="16"/>
      <c r="M129" s="16"/>
      <c r="N129" s="18"/>
      <c r="O129" s="18"/>
      <c r="P129" s="18"/>
      <c r="Q129" s="18"/>
      <c r="R129" s="18"/>
      <c r="S129" s="18"/>
      <c r="T129" s="18"/>
      <c r="U129" s="18"/>
      <c r="V129" s="18"/>
      <c r="W129" s="18"/>
      <c r="X129" s="18"/>
      <c r="Y129" s="18"/>
      <c r="Z129" s="18"/>
      <c r="AA129" s="18"/>
      <c r="AB129" s="18"/>
      <c r="AC129" s="18"/>
    </row>
    <row r="130" spans="1:29" s="19" customFormat="1">
      <c r="A130" s="62"/>
      <c r="B130" s="16"/>
      <c r="C130" s="16"/>
      <c r="D130" s="16"/>
      <c r="E130" s="16"/>
      <c r="F130" s="16"/>
      <c r="G130" s="16"/>
      <c r="H130" s="16"/>
      <c r="I130" s="16"/>
      <c r="J130" s="16"/>
      <c r="K130" s="16"/>
      <c r="L130" s="16"/>
      <c r="M130" s="16"/>
      <c r="N130" s="18"/>
      <c r="O130" s="18"/>
      <c r="P130" s="18"/>
      <c r="Q130" s="18"/>
      <c r="R130" s="18"/>
      <c r="S130" s="18"/>
      <c r="T130" s="18"/>
      <c r="U130" s="18"/>
      <c r="V130" s="18"/>
      <c r="W130" s="18"/>
      <c r="X130" s="18"/>
      <c r="Y130" s="18"/>
      <c r="Z130" s="18"/>
      <c r="AA130" s="18"/>
      <c r="AB130" s="18"/>
      <c r="AC130" s="18"/>
    </row>
    <row r="131" spans="1:29">
      <c r="A131" s="62"/>
      <c r="B131" s="16"/>
      <c r="C131" s="16"/>
      <c r="D131" s="16"/>
      <c r="E131" s="16"/>
      <c r="F131" s="16"/>
      <c r="G131" s="16"/>
      <c r="H131" s="16"/>
      <c r="I131" s="16"/>
      <c r="J131" s="16"/>
      <c r="K131" s="16"/>
      <c r="L131" s="16"/>
      <c r="M131" s="16"/>
    </row>
    <row r="132" spans="1:29">
      <c r="A132" s="62"/>
      <c r="B132" s="16"/>
      <c r="C132" s="16"/>
      <c r="D132" s="16"/>
      <c r="E132" s="16"/>
      <c r="F132" s="16"/>
      <c r="G132" s="16"/>
      <c r="H132" s="16"/>
      <c r="I132" s="16"/>
      <c r="J132" s="16"/>
      <c r="K132" s="16"/>
      <c r="L132" s="16"/>
      <c r="M132" s="16"/>
    </row>
    <row r="133" spans="1:29">
      <c r="A133" s="62"/>
      <c r="B133" s="16"/>
      <c r="C133" s="16"/>
      <c r="D133" s="16"/>
      <c r="E133" s="16"/>
      <c r="F133" s="16"/>
      <c r="G133" s="16"/>
      <c r="H133" s="16"/>
      <c r="I133" s="16"/>
      <c r="J133" s="16"/>
      <c r="K133" s="16"/>
      <c r="L133" s="16"/>
      <c r="M133" s="16"/>
    </row>
    <row r="134" spans="1:29">
      <c r="A134" s="62"/>
      <c r="B134" s="16"/>
      <c r="C134" s="16"/>
      <c r="D134" s="16"/>
      <c r="E134" s="16"/>
      <c r="F134" s="16"/>
      <c r="G134" s="16"/>
      <c r="H134" s="16"/>
      <c r="I134" s="16"/>
      <c r="J134" s="16"/>
      <c r="K134" s="16"/>
      <c r="L134" s="16"/>
      <c r="M134" s="16"/>
    </row>
    <row r="135" spans="1:29">
      <c r="A135" s="62"/>
      <c r="B135" s="16"/>
      <c r="C135" s="16"/>
      <c r="D135" s="16"/>
      <c r="E135" s="16"/>
      <c r="F135" s="16"/>
      <c r="G135" s="16"/>
      <c r="H135" s="16"/>
      <c r="I135" s="16"/>
      <c r="J135" s="16"/>
      <c r="K135" s="16"/>
      <c r="L135" s="16"/>
      <c r="M135" s="16"/>
    </row>
    <row r="136" spans="1:29">
      <c r="A136" s="62"/>
      <c r="B136" s="16"/>
      <c r="C136" s="16"/>
      <c r="D136" s="16"/>
      <c r="E136" s="16"/>
      <c r="F136" s="16"/>
      <c r="G136" s="16"/>
      <c r="H136" s="16"/>
      <c r="I136" s="16"/>
      <c r="J136" s="16"/>
      <c r="K136" s="16"/>
      <c r="L136" s="16"/>
      <c r="M136" s="16"/>
    </row>
    <row r="137" spans="1:29">
      <c r="A137" s="62"/>
      <c r="B137" s="16"/>
      <c r="C137" s="16"/>
      <c r="D137" s="16"/>
      <c r="E137" s="16"/>
      <c r="F137" s="16"/>
      <c r="G137" s="16"/>
      <c r="H137" s="16"/>
      <c r="I137" s="16"/>
      <c r="J137" s="16"/>
      <c r="K137" s="16"/>
      <c r="L137" s="16"/>
      <c r="M137" s="16"/>
    </row>
    <row r="138" spans="1:29">
      <c r="A138" s="62"/>
      <c r="B138" s="16"/>
      <c r="C138" s="16"/>
      <c r="D138" s="16"/>
      <c r="E138" s="16"/>
      <c r="F138" s="16"/>
      <c r="G138" s="16"/>
      <c r="H138" s="16"/>
      <c r="I138" s="16"/>
      <c r="J138" s="16"/>
      <c r="K138" s="16"/>
      <c r="L138" s="16"/>
      <c r="M138" s="16"/>
    </row>
    <row r="139" spans="1:29">
      <c r="A139" s="62"/>
      <c r="B139" s="16"/>
      <c r="C139" s="16"/>
      <c r="D139" s="16"/>
      <c r="E139" s="16"/>
      <c r="F139" s="16"/>
      <c r="G139" s="16"/>
      <c r="H139" s="16"/>
      <c r="I139" s="16"/>
      <c r="J139" s="16"/>
      <c r="K139" s="16"/>
      <c r="L139" s="16"/>
      <c r="M139" s="16"/>
    </row>
    <row r="140" spans="1:29">
      <c r="A140" s="62"/>
      <c r="B140" s="16"/>
      <c r="C140" s="16"/>
      <c r="D140" s="16"/>
      <c r="E140" s="16"/>
      <c r="F140" s="16"/>
      <c r="G140" s="16"/>
      <c r="H140" s="16"/>
      <c r="I140" s="16"/>
      <c r="J140" s="16"/>
      <c r="K140" s="16"/>
      <c r="L140" s="16"/>
      <c r="M140" s="16"/>
    </row>
    <row r="141" spans="1:29">
      <c r="A141" s="62"/>
      <c r="B141" s="16"/>
      <c r="C141" s="16"/>
      <c r="D141" s="16"/>
      <c r="E141" s="16"/>
      <c r="F141" s="16"/>
      <c r="G141" s="16"/>
      <c r="H141" s="16"/>
      <c r="I141" s="16"/>
      <c r="J141" s="16"/>
      <c r="K141" s="16"/>
      <c r="L141" s="16"/>
      <c r="M141" s="16"/>
    </row>
    <row r="142" spans="1:29">
      <c r="A142" s="62"/>
      <c r="B142" s="16"/>
      <c r="C142" s="16"/>
      <c r="D142" s="16"/>
      <c r="E142" s="16"/>
      <c r="F142" s="16"/>
      <c r="G142" s="16"/>
      <c r="H142" s="16"/>
      <c r="I142" s="16"/>
      <c r="J142" s="16"/>
      <c r="K142" s="16"/>
      <c r="L142" s="16"/>
      <c r="M142" s="16"/>
    </row>
    <row r="143" spans="1:29">
      <c r="A143" s="62"/>
      <c r="B143" s="16"/>
      <c r="C143" s="16"/>
      <c r="D143" s="16"/>
      <c r="E143" s="16"/>
      <c r="F143" s="16"/>
      <c r="G143" s="16"/>
      <c r="H143" s="16"/>
      <c r="I143" s="16"/>
      <c r="J143" s="16"/>
      <c r="K143" s="16"/>
      <c r="L143" s="16"/>
      <c r="M143" s="16"/>
    </row>
    <row r="144" spans="1:29">
      <c r="A144" s="62"/>
      <c r="B144" s="16"/>
      <c r="C144" s="16"/>
      <c r="D144" s="16"/>
      <c r="E144" s="16"/>
      <c r="F144" s="16"/>
      <c r="G144" s="16"/>
      <c r="H144" s="16"/>
      <c r="I144" s="16"/>
      <c r="J144" s="16"/>
      <c r="K144" s="16"/>
      <c r="L144" s="16"/>
      <c r="M144" s="16"/>
    </row>
    <row r="145" spans="1:13">
      <c r="A145" s="62"/>
      <c r="B145" s="16"/>
      <c r="C145" s="16"/>
      <c r="D145" s="16"/>
      <c r="E145" s="16"/>
      <c r="F145" s="16"/>
      <c r="G145" s="16"/>
      <c r="H145" s="16"/>
      <c r="I145" s="16"/>
      <c r="J145" s="16"/>
      <c r="K145" s="16"/>
      <c r="L145" s="16"/>
      <c r="M145" s="16"/>
    </row>
    <row r="146" spans="1:13">
      <c r="A146" s="62"/>
      <c r="B146" s="16"/>
      <c r="C146" s="16"/>
      <c r="D146" s="16"/>
      <c r="E146" s="16"/>
      <c r="F146" s="16"/>
      <c r="G146" s="16"/>
      <c r="H146" s="16"/>
      <c r="I146" s="16"/>
      <c r="J146" s="16"/>
      <c r="K146" s="16"/>
      <c r="L146" s="16"/>
      <c r="M146" s="16"/>
    </row>
    <row r="147" spans="1:13">
      <c r="A147" s="62"/>
      <c r="B147" s="16"/>
      <c r="C147" s="16"/>
      <c r="D147" s="16"/>
      <c r="E147" s="16"/>
      <c r="F147" s="16"/>
      <c r="G147" s="16"/>
      <c r="H147" s="16"/>
      <c r="I147" s="16"/>
      <c r="J147" s="16"/>
      <c r="K147" s="16"/>
      <c r="L147" s="16"/>
      <c r="M147" s="16"/>
    </row>
    <row r="148" spans="1:13">
      <c r="A148" s="62"/>
      <c r="B148" s="16"/>
      <c r="C148" s="16"/>
      <c r="D148" s="16"/>
      <c r="E148" s="16"/>
      <c r="F148" s="16"/>
      <c r="G148" s="16"/>
      <c r="H148" s="16"/>
      <c r="I148" s="16"/>
      <c r="J148" s="16"/>
      <c r="K148" s="16"/>
      <c r="L148" s="16"/>
      <c r="M148" s="16"/>
    </row>
    <row r="149" spans="1:13">
      <c r="A149" s="62"/>
      <c r="B149" s="16"/>
      <c r="C149" s="16"/>
      <c r="D149" s="16"/>
      <c r="E149" s="16"/>
      <c r="F149" s="16"/>
      <c r="G149" s="16"/>
      <c r="H149" s="16"/>
      <c r="I149" s="16"/>
      <c r="J149" s="16"/>
      <c r="K149" s="16"/>
      <c r="L149" s="16"/>
      <c r="M149" s="16"/>
    </row>
    <row r="150" spans="1:13">
      <c r="A150" s="62"/>
      <c r="B150" s="16"/>
      <c r="C150" s="16"/>
      <c r="D150" s="16"/>
      <c r="E150" s="16"/>
      <c r="F150" s="16"/>
      <c r="G150" s="16"/>
      <c r="H150" s="16"/>
      <c r="I150" s="16"/>
      <c r="J150" s="16"/>
      <c r="K150" s="16"/>
      <c r="L150" s="16"/>
      <c r="M150" s="16"/>
    </row>
    <row r="151" spans="1:13">
      <c r="A151" s="62"/>
      <c r="B151" s="16"/>
      <c r="C151" s="16"/>
      <c r="D151" s="16"/>
      <c r="E151" s="16"/>
      <c r="F151" s="16"/>
      <c r="G151" s="16"/>
      <c r="H151" s="16"/>
      <c r="I151" s="16"/>
      <c r="J151" s="16"/>
      <c r="K151" s="16"/>
      <c r="L151" s="16"/>
      <c r="M151" s="16"/>
    </row>
    <row r="152" spans="1:13">
      <c r="A152" s="62"/>
      <c r="B152" s="16"/>
      <c r="C152" s="16"/>
      <c r="D152" s="16"/>
      <c r="E152" s="16"/>
      <c r="F152" s="16"/>
      <c r="G152" s="16"/>
      <c r="H152" s="16"/>
      <c r="I152" s="16"/>
      <c r="J152" s="16"/>
      <c r="K152" s="16"/>
      <c r="L152" s="16"/>
      <c r="M152" s="16"/>
    </row>
    <row r="153" spans="1:13">
      <c r="A153" s="62"/>
      <c r="B153" s="16"/>
      <c r="C153" s="16"/>
      <c r="D153" s="16"/>
      <c r="E153" s="16"/>
      <c r="F153" s="16"/>
      <c r="G153" s="16"/>
      <c r="H153" s="16"/>
      <c r="I153" s="16"/>
      <c r="J153" s="16"/>
      <c r="K153" s="16"/>
      <c r="L153" s="16"/>
      <c r="M153" s="16"/>
    </row>
    <row r="154" spans="1:13">
      <c r="A154" s="62"/>
      <c r="B154" s="16"/>
      <c r="C154" s="16"/>
      <c r="D154" s="16"/>
      <c r="E154" s="16"/>
      <c r="F154" s="16"/>
      <c r="G154" s="16"/>
      <c r="H154" s="16"/>
      <c r="I154" s="16"/>
      <c r="J154" s="16"/>
      <c r="K154" s="16"/>
      <c r="L154" s="16"/>
      <c r="M154" s="16"/>
    </row>
    <row r="155" spans="1:13">
      <c r="A155" s="62"/>
      <c r="B155" s="16"/>
      <c r="C155" s="16"/>
      <c r="D155" s="16"/>
      <c r="E155" s="16"/>
      <c r="F155" s="16"/>
      <c r="G155" s="16"/>
      <c r="H155" s="16"/>
      <c r="I155" s="16"/>
      <c r="J155" s="16"/>
      <c r="K155" s="16"/>
      <c r="L155" s="16"/>
      <c r="M155" s="16"/>
    </row>
    <row r="156" spans="1:13">
      <c r="A156" s="62"/>
      <c r="B156" s="16"/>
      <c r="C156" s="16"/>
      <c r="D156" s="16"/>
      <c r="E156" s="16"/>
      <c r="F156" s="16"/>
      <c r="G156" s="16"/>
      <c r="H156" s="16"/>
      <c r="I156" s="16"/>
      <c r="J156" s="16"/>
      <c r="K156" s="16"/>
      <c r="L156" s="16"/>
      <c r="M156" s="16"/>
    </row>
    <row r="157" spans="1:13">
      <c r="A157" s="62"/>
      <c r="B157" s="16"/>
      <c r="C157" s="16"/>
      <c r="D157" s="16"/>
      <c r="E157" s="16"/>
      <c r="F157" s="16"/>
      <c r="G157" s="16"/>
      <c r="H157" s="16"/>
      <c r="I157" s="16"/>
      <c r="J157" s="16"/>
      <c r="K157" s="16"/>
      <c r="L157" s="16"/>
      <c r="M157" s="16"/>
    </row>
    <row r="158" spans="1:13">
      <c r="A158" s="62"/>
      <c r="B158" s="16"/>
      <c r="C158" s="16"/>
      <c r="D158" s="16"/>
      <c r="E158" s="16"/>
      <c r="F158" s="16"/>
      <c r="G158" s="16"/>
      <c r="H158" s="16"/>
      <c r="I158" s="16"/>
      <c r="J158" s="16"/>
      <c r="K158" s="16"/>
      <c r="L158" s="16"/>
      <c r="M158" s="16"/>
    </row>
    <row r="159" spans="1:13">
      <c r="A159" s="62"/>
      <c r="B159" s="16"/>
      <c r="C159" s="16"/>
      <c r="D159" s="16"/>
      <c r="E159" s="16"/>
      <c r="F159" s="16"/>
      <c r="G159" s="16"/>
      <c r="H159" s="16"/>
      <c r="I159" s="16"/>
      <c r="J159" s="16"/>
      <c r="K159" s="16"/>
      <c r="L159" s="16"/>
      <c r="M159" s="16"/>
    </row>
    <row r="160" spans="1:13">
      <c r="A160" s="62"/>
      <c r="B160" s="16"/>
      <c r="C160" s="16"/>
      <c r="D160" s="16"/>
      <c r="E160" s="16"/>
      <c r="F160" s="16"/>
      <c r="G160" s="16"/>
      <c r="H160" s="16"/>
      <c r="I160" s="16"/>
      <c r="J160" s="16"/>
      <c r="K160" s="16"/>
      <c r="L160" s="16"/>
      <c r="M160" s="16"/>
    </row>
    <row r="161" spans="1:13">
      <c r="A161" s="62"/>
      <c r="B161" s="16"/>
      <c r="C161" s="16"/>
      <c r="D161" s="16"/>
      <c r="E161" s="16"/>
      <c r="F161" s="16"/>
      <c r="G161" s="16"/>
      <c r="H161" s="16"/>
      <c r="I161" s="16"/>
      <c r="J161" s="16"/>
      <c r="K161" s="16"/>
      <c r="L161" s="16"/>
      <c r="M161" s="16"/>
    </row>
    <row r="162" spans="1:13">
      <c r="A162" s="62"/>
      <c r="B162" s="16"/>
      <c r="C162" s="16"/>
      <c r="D162" s="16"/>
      <c r="E162" s="16"/>
      <c r="F162" s="16"/>
      <c r="G162" s="16"/>
      <c r="H162" s="16"/>
      <c r="I162" s="16"/>
      <c r="J162" s="16"/>
      <c r="K162" s="16"/>
      <c r="L162" s="16"/>
      <c r="M162" s="16"/>
    </row>
    <row r="163" spans="1:13">
      <c r="A163" s="62"/>
      <c r="B163" s="16"/>
      <c r="C163" s="16"/>
      <c r="D163" s="16"/>
      <c r="E163" s="16"/>
      <c r="F163" s="16"/>
      <c r="G163" s="16"/>
      <c r="H163" s="16"/>
      <c r="I163" s="16"/>
      <c r="J163" s="16"/>
      <c r="K163" s="16"/>
      <c r="L163" s="16"/>
      <c r="M163" s="16"/>
    </row>
    <row r="164" spans="1:13">
      <c r="A164" s="62"/>
      <c r="B164" s="16"/>
      <c r="C164" s="16"/>
      <c r="D164" s="16"/>
      <c r="E164" s="16"/>
      <c r="F164" s="16"/>
      <c r="G164" s="16"/>
      <c r="H164" s="16"/>
      <c r="I164" s="16"/>
      <c r="J164" s="16"/>
      <c r="K164" s="16"/>
      <c r="L164" s="16"/>
      <c r="M164" s="16"/>
    </row>
    <row r="165" spans="1:13">
      <c r="A165" s="62"/>
      <c r="B165" s="16"/>
      <c r="C165" s="16"/>
      <c r="D165" s="16"/>
      <c r="E165" s="16"/>
      <c r="F165" s="16"/>
      <c r="G165" s="16"/>
      <c r="H165" s="16"/>
      <c r="I165" s="16"/>
      <c r="J165" s="16"/>
      <c r="K165" s="16"/>
      <c r="L165" s="16"/>
      <c r="M165" s="16"/>
    </row>
    <row r="166" spans="1:13">
      <c r="A166" s="62"/>
      <c r="B166" s="16"/>
      <c r="C166" s="16"/>
      <c r="D166" s="16"/>
      <c r="E166" s="16"/>
      <c r="F166" s="16"/>
      <c r="G166" s="16"/>
      <c r="H166" s="16"/>
      <c r="I166" s="16"/>
      <c r="J166" s="16"/>
      <c r="K166" s="16"/>
      <c r="L166" s="16"/>
      <c r="M166" s="16"/>
    </row>
    <row r="167" spans="1:13">
      <c r="A167" s="62"/>
      <c r="B167" s="16"/>
      <c r="C167" s="16"/>
      <c r="D167" s="16"/>
      <c r="E167" s="16"/>
      <c r="F167" s="16"/>
      <c r="G167" s="16"/>
      <c r="H167" s="16"/>
      <c r="I167" s="16"/>
      <c r="J167" s="16"/>
      <c r="K167" s="16"/>
      <c r="L167" s="16"/>
      <c r="M167" s="16"/>
    </row>
    <row r="168" spans="1:13">
      <c r="A168" s="62"/>
      <c r="B168" s="16"/>
      <c r="C168" s="16"/>
      <c r="D168" s="16"/>
      <c r="E168" s="16"/>
      <c r="F168" s="16"/>
      <c r="G168" s="16"/>
      <c r="H168" s="16"/>
      <c r="I168" s="16"/>
      <c r="J168" s="16"/>
      <c r="K168" s="16"/>
      <c r="L168" s="16"/>
      <c r="M168" s="16"/>
    </row>
    <row r="169" spans="1:13">
      <c r="A169" s="62"/>
      <c r="B169" s="16"/>
      <c r="C169" s="16"/>
      <c r="D169" s="16"/>
      <c r="E169" s="16"/>
      <c r="F169" s="16"/>
      <c r="G169" s="16"/>
      <c r="H169" s="16"/>
      <c r="I169" s="16"/>
      <c r="J169" s="16"/>
      <c r="K169" s="16"/>
      <c r="L169" s="16"/>
      <c r="M169" s="16"/>
    </row>
    <row r="170" spans="1:13">
      <c r="A170" s="62"/>
      <c r="B170" s="16"/>
      <c r="C170" s="16"/>
      <c r="D170" s="16"/>
      <c r="E170" s="16"/>
      <c r="F170" s="16"/>
      <c r="G170" s="16"/>
      <c r="H170" s="16"/>
      <c r="I170" s="16"/>
      <c r="J170" s="16"/>
      <c r="K170" s="16"/>
      <c r="L170" s="16"/>
      <c r="M170" s="16"/>
    </row>
    <row r="171" spans="1:13">
      <c r="A171" s="62"/>
      <c r="B171" s="16"/>
      <c r="C171" s="16"/>
      <c r="D171" s="16"/>
      <c r="E171" s="16"/>
      <c r="F171" s="16"/>
      <c r="G171" s="16"/>
      <c r="H171" s="16"/>
      <c r="I171" s="16"/>
      <c r="J171" s="16"/>
      <c r="K171" s="16"/>
      <c r="L171" s="16"/>
      <c r="M171" s="16"/>
    </row>
    <row r="172" spans="1:13">
      <c r="A172" s="62"/>
      <c r="B172" s="16"/>
      <c r="C172" s="16"/>
      <c r="D172" s="16"/>
      <c r="E172" s="16"/>
      <c r="F172" s="16"/>
      <c r="G172" s="16"/>
      <c r="H172" s="16"/>
      <c r="I172" s="16"/>
      <c r="J172" s="16"/>
      <c r="K172" s="16"/>
      <c r="L172" s="16"/>
      <c r="M172" s="16"/>
    </row>
    <row r="173" spans="1:13">
      <c r="A173" s="62"/>
      <c r="B173" s="16"/>
      <c r="C173" s="16"/>
      <c r="D173" s="16"/>
      <c r="E173" s="16"/>
      <c r="F173" s="16"/>
      <c r="G173" s="16"/>
      <c r="H173" s="16"/>
      <c r="I173" s="16"/>
      <c r="J173" s="16"/>
      <c r="K173" s="16"/>
      <c r="L173" s="16"/>
      <c r="M173" s="16"/>
    </row>
    <row r="174" spans="1:13">
      <c r="A174" s="62"/>
      <c r="B174" s="16"/>
      <c r="C174" s="16"/>
      <c r="D174" s="16"/>
      <c r="E174" s="16"/>
      <c r="F174" s="16"/>
      <c r="G174" s="16"/>
      <c r="H174" s="16"/>
      <c r="I174" s="16"/>
      <c r="J174" s="16"/>
      <c r="K174" s="16"/>
      <c r="L174" s="16"/>
      <c r="M174" s="16"/>
    </row>
    <row r="175" spans="1:13">
      <c r="B175" s="16"/>
      <c r="C175" s="16"/>
      <c r="D175" s="16"/>
      <c r="E175" s="16"/>
      <c r="F175" s="16"/>
      <c r="G175" s="16"/>
      <c r="H175" s="16"/>
      <c r="I175" s="16"/>
      <c r="J175" s="16"/>
      <c r="K175" s="16"/>
      <c r="L175" s="16"/>
      <c r="M175" s="16"/>
    </row>
  </sheetData>
  <mergeCells count="20">
    <mergeCell ref="A57:M57"/>
    <mergeCell ref="A1:M1"/>
    <mergeCell ref="B2:E2"/>
    <mergeCell ref="F2:I2"/>
    <mergeCell ref="J2:M2"/>
    <mergeCell ref="A56:M56"/>
    <mergeCell ref="A124:M124"/>
    <mergeCell ref="A58:M58"/>
    <mergeCell ref="A59:M59"/>
    <mergeCell ref="A60:M60"/>
    <mergeCell ref="A61:M61"/>
    <mergeCell ref="A64:M64"/>
    <mergeCell ref="B65:E65"/>
    <mergeCell ref="F65:I65"/>
    <mergeCell ref="J65:M65"/>
    <mergeCell ref="A119:M119"/>
    <mergeCell ref="A120:M120"/>
    <mergeCell ref="A121:M121"/>
    <mergeCell ref="A122:M122"/>
    <mergeCell ref="A123:M123"/>
  </mergeCells>
  <phoneticPr fontId="24" type="noConversion"/>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98F80-5543-4166-8DED-4E659D82F61F}">
  <sheetPr>
    <tabColor theme="9" tint="0.79998168889431442"/>
  </sheetPr>
  <dimension ref="A1:AD83"/>
  <sheetViews>
    <sheetView workbookViewId="0">
      <selection activeCell="D30" sqref="D30"/>
    </sheetView>
  </sheetViews>
  <sheetFormatPr defaultColWidth="9.140625" defaultRowHeight="15.75"/>
  <cols>
    <col min="1" max="1" width="54.7109375" style="21" customWidth="1"/>
    <col min="2" max="2" width="15.85546875" style="39" customWidth="1"/>
    <col min="3" max="3" width="19" style="39" customWidth="1"/>
    <col min="4" max="4" width="19.28515625" style="39" customWidth="1"/>
    <col min="5" max="5" width="19.5703125" style="39" customWidth="1"/>
    <col min="6" max="6" width="17.42578125" style="27" customWidth="1"/>
    <col min="7" max="7" width="16.140625" style="27" customWidth="1"/>
    <col min="8" max="8" width="17.42578125" style="28" customWidth="1"/>
    <col min="9" max="16384" width="9.140625" style="4"/>
  </cols>
  <sheetData>
    <row r="1" spans="1:19" ht="45.75">
      <c r="A1" s="168" t="s">
        <v>166</v>
      </c>
      <c r="B1" s="167" t="s">
        <v>169</v>
      </c>
      <c r="C1" s="169" t="s">
        <v>170</v>
      </c>
      <c r="D1" s="173" t="s">
        <v>172</v>
      </c>
    </row>
    <row r="2" spans="1:19" ht="15" customHeight="1">
      <c r="A2" s="174" t="s">
        <v>167</v>
      </c>
      <c r="B2" s="42">
        <f>COUNTIFS($B$26:$B$71, "Yes", $C$26:$C$71, "Yes")</f>
        <v>26</v>
      </c>
      <c r="C2" s="170">
        <f>COUNTIFS($B$26:$B$71, "Yes", $C$26:$C$71, "No")</f>
        <v>18</v>
      </c>
      <c r="D2" s="42">
        <f>SUM(B2:C2)</f>
        <v>44</v>
      </c>
    </row>
    <row r="3" spans="1:19">
      <c r="A3" s="175" t="s">
        <v>168</v>
      </c>
      <c r="B3" s="171">
        <f>COUNTIFS($B$26:$B$71, "No", $C$26:$C$71, "Yes")</f>
        <v>2</v>
      </c>
      <c r="C3" s="172">
        <f>COUNTIFS($B$26:$B$71, "No", $C$26:$C$71, "No")</f>
        <v>0</v>
      </c>
      <c r="D3" s="42">
        <f>SUM(B3:C3)</f>
        <v>2</v>
      </c>
    </row>
    <row r="4" spans="1:19" ht="16.5" thickBot="1">
      <c r="A4" s="176" t="s">
        <v>172</v>
      </c>
      <c r="B4" s="42">
        <f>SUM(B2:B3)</f>
        <v>28</v>
      </c>
      <c r="C4" s="42">
        <f>SUM(C2:C3)</f>
        <v>18</v>
      </c>
      <c r="D4" s="177">
        <f>SUM(B4:C4)</f>
        <v>46</v>
      </c>
    </row>
    <row r="5" spans="1:19" s="37" customFormat="1" ht="15">
      <c r="A5" s="32" t="s">
        <v>157</v>
      </c>
      <c r="B5" s="33"/>
      <c r="C5" s="34"/>
      <c r="D5" s="34"/>
      <c r="E5" s="35"/>
      <c r="F5" s="36"/>
      <c r="G5" s="36"/>
      <c r="H5" s="36"/>
      <c r="I5" s="36"/>
      <c r="J5" s="36"/>
      <c r="K5" s="36"/>
      <c r="L5" s="36"/>
      <c r="M5" s="36"/>
      <c r="N5" s="36"/>
      <c r="O5" s="36"/>
      <c r="P5" s="36"/>
      <c r="Q5" s="36"/>
      <c r="R5" s="36"/>
      <c r="S5" s="36"/>
    </row>
    <row r="6" spans="1:19">
      <c r="A6" s="20" t="s">
        <v>173</v>
      </c>
      <c r="B6" s="46"/>
      <c r="C6" s="46"/>
      <c r="D6" s="46"/>
      <c r="E6" s="28"/>
      <c r="F6" s="20"/>
      <c r="G6" s="20"/>
      <c r="H6" s="21"/>
      <c r="I6" s="38"/>
      <c r="J6" s="38"/>
      <c r="K6" s="38"/>
      <c r="L6" s="38"/>
      <c r="M6" s="38"/>
    </row>
    <row r="7" spans="1:19" ht="16.5" thickBot="1"/>
    <row r="8" spans="1:19" ht="30" customHeight="1">
      <c r="A8" s="67" t="s">
        <v>171</v>
      </c>
      <c r="B8" s="68"/>
      <c r="C8" s="68"/>
      <c r="D8" s="68"/>
      <c r="E8" s="27"/>
      <c r="G8" s="28"/>
      <c r="H8" s="4"/>
    </row>
    <row r="9" spans="1:19" ht="30">
      <c r="A9" s="69"/>
      <c r="B9" s="70" t="s">
        <v>75</v>
      </c>
      <c r="C9" s="70" t="s">
        <v>76</v>
      </c>
      <c r="D9" s="71" t="s">
        <v>77</v>
      </c>
      <c r="E9" s="27"/>
      <c r="G9" s="28"/>
      <c r="H9" s="4"/>
    </row>
    <row r="10" spans="1:19">
      <c r="A10" s="25" t="s">
        <v>78</v>
      </c>
      <c r="B10" s="23">
        <f>COUNTIF(D$26:D$71, "All")/COUNTA(D$26:D$71)</f>
        <v>0.2857142857142857</v>
      </c>
      <c r="C10" s="23">
        <f t="shared" ref="C10:D10" si="0">COUNTIF(E$26:E$71, "All")/COUNTA(E$26:E$71)</f>
        <v>0.25</v>
      </c>
      <c r="D10" s="164">
        <f t="shared" si="0"/>
        <v>7.1428571428571425E-2</v>
      </c>
      <c r="E10" s="27"/>
      <c r="G10" s="28"/>
      <c r="H10" s="4"/>
    </row>
    <row r="11" spans="1:19">
      <c r="A11" s="62" t="s">
        <v>79</v>
      </c>
      <c r="B11" s="23">
        <f>COUNTIF(D$26:D$71, "Some but not all")/COUNTA(D$26:D$71)</f>
        <v>0.42857142857142855</v>
      </c>
      <c r="C11" s="23">
        <f t="shared" ref="C11:D11" si="1">COUNTIF(E$26:E$71, "Some but not all")/COUNTA(E$26:E$71)</f>
        <v>0.39285714285714285</v>
      </c>
      <c r="D11" s="165">
        <f t="shared" si="1"/>
        <v>0.25</v>
      </c>
      <c r="E11" s="27"/>
      <c r="G11" s="28"/>
      <c r="H11" s="4"/>
    </row>
    <row r="12" spans="1:19" ht="16.5" thickBot="1">
      <c r="A12" s="29" t="s">
        <v>80</v>
      </c>
      <c r="B12" s="30">
        <f>COUNTIF(D$26:D$71, "None")/COUNTA(D$26:D$71)</f>
        <v>0.2857142857142857</v>
      </c>
      <c r="C12" s="30">
        <f t="shared" ref="C12:D12" si="2">COUNTIF(E$26:E$71, "None")/COUNTA(E$26:E$71)</f>
        <v>0.35714285714285715</v>
      </c>
      <c r="D12" s="166">
        <f t="shared" si="2"/>
        <v>0.6785714285714286</v>
      </c>
      <c r="E12" s="27"/>
      <c r="G12" s="28"/>
      <c r="H12" s="4"/>
    </row>
    <row r="13" spans="1:19" s="37" customFormat="1" ht="15">
      <c r="A13" s="32" t="s">
        <v>157</v>
      </c>
      <c r="B13" s="33"/>
      <c r="C13" s="34"/>
      <c r="D13" s="34"/>
      <c r="E13" s="35"/>
      <c r="F13" s="36"/>
      <c r="G13" s="36"/>
      <c r="H13" s="36"/>
      <c r="I13" s="36"/>
      <c r="J13" s="36"/>
      <c r="K13" s="36"/>
      <c r="L13" s="36"/>
      <c r="M13" s="36"/>
      <c r="N13" s="36"/>
      <c r="O13" s="36"/>
      <c r="P13" s="36"/>
      <c r="Q13" s="36"/>
      <c r="R13" s="36"/>
      <c r="S13" s="36"/>
    </row>
    <row r="14" spans="1:19">
      <c r="A14" s="20" t="s">
        <v>174</v>
      </c>
      <c r="B14" s="46"/>
      <c r="C14" s="46"/>
      <c r="D14" s="46"/>
      <c r="E14" s="28"/>
      <c r="F14" s="20"/>
      <c r="G14" s="20"/>
      <c r="H14" s="21"/>
      <c r="I14" s="38"/>
      <c r="J14" s="38"/>
      <c r="K14" s="38"/>
      <c r="L14" s="38"/>
      <c r="M14" s="38"/>
    </row>
    <row r="15" spans="1:19" ht="16.5" thickBot="1">
      <c r="A15" s="20"/>
      <c r="B15" s="46"/>
      <c r="C15" s="46"/>
      <c r="D15" s="46"/>
      <c r="E15" s="28"/>
      <c r="F15" s="20"/>
      <c r="G15" s="20"/>
      <c r="H15" s="21"/>
      <c r="I15" s="38"/>
      <c r="J15" s="38"/>
      <c r="K15" s="38"/>
      <c r="L15" s="38"/>
      <c r="M15" s="38"/>
    </row>
    <row r="16" spans="1:19" s="40" customFormat="1" ht="24" customHeight="1">
      <c r="A16" s="67" t="s">
        <v>81</v>
      </c>
      <c r="B16" s="72"/>
      <c r="C16" s="72"/>
      <c r="D16" s="72"/>
      <c r="E16" s="73"/>
      <c r="G16" s="41"/>
      <c r="H16" s="33"/>
    </row>
    <row r="17" spans="1:30">
      <c r="A17" s="69"/>
      <c r="B17" s="74">
        <v>0</v>
      </c>
      <c r="C17" s="75" t="s">
        <v>82</v>
      </c>
      <c r="D17" s="75" t="s">
        <v>83</v>
      </c>
      <c r="E17" s="76" t="s">
        <v>84</v>
      </c>
    </row>
    <row r="18" spans="1:30">
      <c r="A18" s="25" t="s">
        <v>85</v>
      </c>
      <c r="B18" s="42">
        <f>COUNTIF(G26:G71,0)</f>
        <v>7</v>
      </c>
      <c r="C18" s="42">
        <f>COUNTIFS(G26:G71,"&gt;0",G26:G71,"&lt;=55")</f>
        <v>18</v>
      </c>
      <c r="D18" s="42">
        <f>COUNTIFS(G26:G71,"&gt;=56",G26:G71,"&lt;=100")</f>
        <v>19</v>
      </c>
      <c r="E18" s="43">
        <f>COUNTIF(G26:G71,"&gt;100")</f>
        <v>2</v>
      </c>
    </row>
    <row r="19" spans="1:30" ht="16.5" thickBot="1">
      <c r="A19" s="64" t="s">
        <v>86</v>
      </c>
      <c r="B19" s="65">
        <f>COUNTIF(H26:H71, 0)</f>
        <v>4</v>
      </c>
      <c r="C19" s="65">
        <f>COUNTIFS(H26:H71,"&gt;0",H26:H71,"&lt;=55")</f>
        <v>17</v>
      </c>
      <c r="D19" s="65">
        <f>COUNTIFS(H26:H71,"&gt;=56",H26:H71,"&lt;=100")</f>
        <v>21</v>
      </c>
      <c r="E19" s="66">
        <f>COUNTIF(H26:H71,"&gt;100")</f>
        <v>4</v>
      </c>
      <c r="F19" s="31"/>
    </row>
    <row r="20" spans="1:30" s="37" customFormat="1" ht="22.5" customHeight="1">
      <c r="A20" s="221" t="s">
        <v>161</v>
      </c>
      <c r="B20" s="221"/>
      <c r="C20" s="225"/>
      <c r="D20" s="225"/>
      <c r="E20" s="225"/>
      <c r="F20" s="226"/>
      <c r="G20" s="34"/>
      <c r="H20" s="35"/>
      <c r="I20" s="36"/>
      <c r="J20" s="36"/>
      <c r="K20" s="36"/>
      <c r="L20" s="36"/>
      <c r="M20" s="36"/>
      <c r="N20" s="36"/>
      <c r="O20" s="36"/>
      <c r="P20" s="36"/>
      <c r="Q20" s="36"/>
      <c r="R20" s="36"/>
      <c r="S20" s="36"/>
      <c r="T20" s="36"/>
      <c r="U20" s="36"/>
      <c r="V20" s="36"/>
    </row>
    <row r="21" spans="1:30" s="19" customFormat="1">
      <c r="A21" s="200" t="s">
        <v>173</v>
      </c>
      <c r="B21" s="200"/>
      <c r="C21" s="227"/>
      <c r="D21" s="227"/>
      <c r="E21" s="227"/>
      <c r="F21" s="227"/>
      <c r="G21" s="28"/>
      <c r="H21" s="28"/>
      <c r="I21" s="4"/>
      <c r="J21" s="4"/>
      <c r="K21" s="4"/>
      <c r="L21" s="4"/>
      <c r="M21" s="4"/>
      <c r="N21" s="4"/>
      <c r="O21" s="18"/>
      <c r="P21" s="18"/>
      <c r="Q21" s="18"/>
      <c r="R21" s="18"/>
      <c r="S21" s="18"/>
      <c r="T21" s="18"/>
      <c r="U21" s="18"/>
      <c r="V21" s="18"/>
      <c r="W21" s="18"/>
      <c r="X21" s="18"/>
      <c r="Y21" s="18"/>
      <c r="Z21" s="18"/>
      <c r="AA21" s="18"/>
      <c r="AB21" s="18"/>
      <c r="AC21" s="18"/>
      <c r="AD21" s="18"/>
    </row>
    <row r="22" spans="1:30" ht="16.5" thickBot="1"/>
    <row r="23" spans="1:30" ht="29.25" customHeight="1" thickBot="1">
      <c r="A23" s="150" t="s">
        <v>87</v>
      </c>
      <c r="B23" s="151"/>
      <c r="C23" s="151"/>
      <c r="D23" s="151"/>
      <c r="E23" s="151"/>
      <c r="F23" s="151"/>
      <c r="G23" s="151"/>
      <c r="H23" s="152"/>
      <c r="J23" s="161"/>
      <c r="K23" s="161"/>
      <c r="L23" s="161"/>
      <c r="M23" s="161"/>
      <c r="N23" s="161"/>
      <c r="O23" s="161"/>
      <c r="P23" s="161"/>
      <c r="Q23" s="161"/>
      <c r="R23" s="161"/>
      <c r="S23" s="161"/>
    </row>
    <row r="24" spans="1:30" ht="29.25" customHeight="1">
      <c r="A24" s="162"/>
      <c r="B24" s="163"/>
      <c r="C24" s="163"/>
      <c r="D24" s="228" t="s">
        <v>160</v>
      </c>
      <c r="E24" s="228"/>
      <c r="F24" s="228"/>
      <c r="G24" s="151"/>
      <c r="H24" s="151"/>
      <c r="J24" s="161"/>
      <c r="K24" s="161"/>
      <c r="L24" s="161"/>
      <c r="M24" s="161"/>
      <c r="N24" s="161"/>
      <c r="O24" s="161"/>
      <c r="P24" s="161"/>
      <c r="Q24" s="161"/>
      <c r="R24" s="161"/>
      <c r="S24" s="161"/>
    </row>
    <row r="25" spans="1:30" ht="57.75">
      <c r="A25" s="144"/>
      <c r="B25" s="145" t="s">
        <v>158</v>
      </c>
      <c r="C25" s="145" t="s">
        <v>159</v>
      </c>
      <c r="D25" s="145" t="s">
        <v>162</v>
      </c>
      <c r="E25" s="145" t="s">
        <v>163</v>
      </c>
      <c r="F25" s="145" t="s">
        <v>164</v>
      </c>
      <c r="G25" s="146" t="s">
        <v>88</v>
      </c>
      <c r="H25" s="146" t="s">
        <v>89</v>
      </c>
    </row>
    <row r="26" spans="1:30">
      <c r="A26" s="62" t="s">
        <v>68</v>
      </c>
      <c r="B26" s="147" t="s">
        <v>2</v>
      </c>
      <c r="C26" s="147" t="s">
        <v>2</v>
      </c>
      <c r="D26" s="147" t="s">
        <v>4</v>
      </c>
      <c r="E26" s="147" t="s">
        <v>3</v>
      </c>
      <c r="F26" s="147" t="s">
        <v>3</v>
      </c>
      <c r="G26" s="153">
        <v>0</v>
      </c>
      <c r="H26" s="153">
        <v>0</v>
      </c>
    </row>
    <row r="27" spans="1:30">
      <c r="A27" s="62" t="s">
        <v>69</v>
      </c>
      <c r="B27" s="127" t="s">
        <v>2</v>
      </c>
      <c r="C27" s="127" t="s">
        <v>2</v>
      </c>
      <c r="D27" s="127" t="s">
        <v>146</v>
      </c>
      <c r="E27" s="127" t="s">
        <v>4</v>
      </c>
      <c r="F27" s="127" t="s">
        <v>3</v>
      </c>
      <c r="G27" s="153">
        <v>25</v>
      </c>
      <c r="H27" s="153">
        <v>52</v>
      </c>
    </row>
    <row r="28" spans="1:30">
      <c r="A28" s="62" t="s">
        <v>0</v>
      </c>
      <c r="B28" s="127" t="s">
        <v>2</v>
      </c>
      <c r="C28" s="127" t="s">
        <v>1</v>
      </c>
      <c r="D28" s="127"/>
      <c r="E28" s="127"/>
      <c r="F28" s="127"/>
      <c r="G28" s="153">
        <v>0</v>
      </c>
      <c r="H28" s="153">
        <v>0</v>
      </c>
    </row>
    <row r="29" spans="1:30">
      <c r="A29" s="62" t="s">
        <v>9</v>
      </c>
      <c r="B29" s="127" t="s">
        <v>2</v>
      </c>
      <c r="C29" s="127" t="s">
        <v>1</v>
      </c>
      <c r="D29" s="127"/>
      <c r="E29" s="127"/>
      <c r="F29" s="127"/>
      <c r="G29" s="153">
        <v>58.52</v>
      </c>
      <c r="H29" s="153">
        <v>58.52</v>
      </c>
    </row>
    <row r="30" spans="1:30">
      <c r="A30" s="62" t="s">
        <v>38</v>
      </c>
      <c r="B30" s="127" t="s">
        <v>2</v>
      </c>
      <c r="C30" s="127" t="s">
        <v>2</v>
      </c>
      <c r="D30" s="127" t="s">
        <v>146</v>
      </c>
      <c r="E30" s="127" t="s">
        <v>146</v>
      </c>
      <c r="F30" s="127" t="s">
        <v>146</v>
      </c>
      <c r="G30" s="153">
        <v>58</v>
      </c>
      <c r="H30" s="153">
        <v>58</v>
      </c>
    </row>
    <row r="31" spans="1:30">
      <c r="A31" s="62" t="s">
        <v>8</v>
      </c>
      <c r="B31" s="127" t="s">
        <v>2</v>
      </c>
      <c r="C31" s="127" t="s">
        <v>1</v>
      </c>
      <c r="D31" s="127"/>
      <c r="E31" s="127"/>
      <c r="F31" s="127"/>
      <c r="G31" s="153">
        <v>58.52</v>
      </c>
      <c r="H31" s="153">
        <v>58.52</v>
      </c>
    </row>
    <row r="32" spans="1:30">
      <c r="A32" s="62" t="s">
        <v>31</v>
      </c>
      <c r="B32" s="127" t="s">
        <v>2</v>
      </c>
      <c r="C32" s="127" t="s">
        <v>1</v>
      </c>
      <c r="D32" s="127"/>
      <c r="E32" s="127"/>
      <c r="F32" s="127"/>
      <c r="G32" s="153">
        <v>82</v>
      </c>
      <c r="H32" s="153">
        <v>82</v>
      </c>
    </row>
    <row r="33" spans="1:8">
      <c r="A33" s="62" t="s">
        <v>17</v>
      </c>
      <c r="B33" s="127" t="s">
        <v>2</v>
      </c>
      <c r="C33" s="127" t="s">
        <v>2</v>
      </c>
      <c r="D33" s="127" t="s">
        <v>3</v>
      </c>
      <c r="E33" s="127" t="s">
        <v>3</v>
      </c>
      <c r="F33" s="127" t="s">
        <v>4</v>
      </c>
      <c r="G33" s="153">
        <v>50</v>
      </c>
      <c r="H33" s="153">
        <v>50</v>
      </c>
    </row>
    <row r="34" spans="1:8">
      <c r="A34" s="62" t="s">
        <v>18</v>
      </c>
      <c r="B34" s="127" t="s">
        <v>2</v>
      </c>
      <c r="C34" s="127" t="s">
        <v>2</v>
      </c>
      <c r="D34" s="127" t="s">
        <v>4</v>
      </c>
      <c r="E34" s="127" t="s">
        <v>3</v>
      </c>
      <c r="F34" s="127" t="s">
        <v>3</v>
      </c>
      <c r="G34" s="153">
        <v>58</v>
      </c>
      <c r="H34" s="153">
        <v>58</v>
      </c>
    </row>
    <row r="35" spans="1:8">
      <c r="A35" s="62" t="s">
        <v>10</v>
      </c>
      <c r="B35" s="127" t="s">
        <v>2</v>
      </c>
      <c r="C35" s="127" t="s">
        <v>1</v>
      </c>
      <c r="D35" s="127"/>
      <c r="E35" s="127"/>
      <c r="F35" s="127"/>
      <c r="G35" s="153">
        <v>33</v>
      </c>
      <c r="H35" s="153">
        <v>45</v>
      </c>
    </row>
    <row r="36" spans="1:8">
      <c r="A36" s="62" t="s">
        <v>148</v>
      </c>
      <c r="B36" s="127" t="s">
        <v>1</v>
      </c>
      <c r="C36" s="127" t="s">
        <v>2</v>
      </c>
      <c r="D36" s="127" t="s">
        <v>146</v>
      </c>
      <c r="E36" s="127" t="s">
        <v>3</v>
      </c>
      <c r="F36" s="127" t="s">
        <v>146</v>
      </c>
      <c r="G36" s="153">
        <v>67</v>
      </c>
      <c r="H36" s="153">
        <v>127</v>
      </c>
    </row>
    <row r="37" spans="1:8">
      <c r="A37" s="62" t="s">
        <v>24</v>
      </c>
      <c r="B37" s="127" t="s">
        <v>2</v>
      </c>
      <c r="C37" s="127" t="s">
        <v>2</v>
      </c>
      <c r="D37" s="127" t="s">
        <v>4</v>
      </c>
      <c r="E37" s="127" t="s">
        <v>3</v>
      </c>
      <c r="F37" s="127" t="s">
        <v>3</v>
      </c>
      <c r="G37" s="153">
        <v>0</v>
      </c>
      <c r="H37" s="153">
        <v>99</v>
      </c>
    </row>
    <row r="38" spans="1:8">
      <c r="A38" s="62" t="s">
        <v>40</v>
      </c>
      <c r="B38" s="127" t="s">
        <v>2</v>
      </c>
      <c r="C38" s="127" t="s">
        <v>2</v>
      </c>
      <c r="D38" s="127" t="s">
        <v>3</v>
      </c>
      <c r="E38" s="127" t="s">
        <v>4</v>
      </c>
      <c r="F38" s="127" t="s">
        <v>3</v>
      </c>
      <c r="G38" s="153">
        <v>33.33</v>
      </c>
      <c r="H38" s="153">
        <v>33.33</v>
      </c>
    </row>
    <row r="39" spans="1:8">
      <c r="A39" s="62" t="s">
        <v>70</v>
      </c>
      <c r="B39" s="127" t="s">
        <v>2</v>
      </c>
      <c r="C39" s="127" t="s">
        <v>2</v>
      </c>
      <c r="D39" s="127" t="s">
        <v>4</v>
      </c>
      <c r="E39" s="127" t="s">
        <v>3</v>
      </c>
      <c r="F39" s="127" t="s">
        <v>3</v>
      </c>
      <c r="G39" s="153">
        <v>136</v>
      </c>
      <c r="H39" s="153">
        <v>136</v>
      </c>
    </row>
    <row r="40" spans="1:8">
      <c r="A40" s="62" t="s">
        <v>71</v>
      </c>
      <c r="B40" s="127" t="s">
        <v>2</v>
      </c>
      <c r="C40" s="127" t="s">
        <v>1</v>
      </c>
      <c r="D40" s="127"/>
      <c r="E40" s="127"/>
      <c r="F40" s="127"/>
      <c r="G40" s="153">
        <v>58.52</v>
      </c>
      <c r="H40" s="153">
        <v>58.52</v>
      </c>
    </row>
    <row r="41" spans="1:8">
      <c r="A41" s="62" t="s">
        <v>41</v>
      </c>
      <c r="B41" s="127" t="s">
        <v>2</v>
      </c>
      <c r="C41" s="127" t="s">
        <v>1</v>
      </c>
      <c r="D41" s="127"/>
      <c r="E41" s="127"/>
      <c r="F41" s="127"/>
      <c r="G41" s="153">
        <v>56</v>
      </c>
      <c r="H41" s="153">
        <v>56</v>
      </c>
    </row>
    <row r="42" spans="1:8">
      <c r="A42" s="62" t="s">
        <v>20</v>
      </c>
      <c r="B42" s="127" t="s">
        <v>2</v>
      </c>
      <c r="C42" s="127" t="s">
        <v>1</v>
      </c>
      <c r="D42" s="127"/>
      <c r="E42" s="127"/>
      <c r="F42" s="127"/>
      <c r="G42" s="153">
        <v>100</v>
      </c>
      <c r="H42" s="153">
        <v>100</v>
      </c>
    </row>
    <row r="43" spans="1:8">
      <c r="A43" s="62" t="s">
        <v>19</v>
      </c>
      <c r="B43" s="127" t="s">
        <v>2</v>
      </c>
      <c r="C43" s="127" t="s">
        <v>2</v>
      </c>
      <c r="D43" s="127" t="s">
        <v>3</v>
      </c>
      <c r="E43" s="127" t="s">
        <v>4</v>
      </c>
      <c r="F43" s="127" t="s">
        <v>3</v>
      </c>
      <c r="G43" s="153">
        <v>55</v>
      </c>
      <c r="H43" s="153">
        <v>55</v>
      </c>
    </row>
    <row r="44" spans="1:8">
      <c r="A44" s="62" t="s">
        <v>32</v>
      </c>
      <c r="B44" s="127" t="s">
        <v>2</v>
      </c>
      <c r="C44" s="127" t="s">
        <v>2</v>
      </c>
      <c r="D44" s="127" t="s">
        <v>4</v>
      </c>
      <c r="E44" s="127" t="s">
        <v>3</v>
      </c>
      <c r="F44" s="127" t="s">
        <v>3</v>
      </c>
      <c r="G44" s="153">
        <v>0</v>
      </c>
      <c r="H44" s="153">
        <v>65</v>
      </c>
    </row>
    <row r="45" spans="1:8">
      <c r="A45" s="62" t="s">
        <v>22</v>
      </c>
      <c r="B45" s="127" t="s">
        <v>2</v>
      </c>
      <c r="C45" s="127" t="s">
        <v>2</v>
      </c>
      <c r="D45" s="127" t="s">
        <v>146</v>
      </c>
      <c r="E45" s="127" t="s">
        <v>146</v>
      </c>
      <c r="F45" s="127" t="s">
        <v>146</v>
      </c>
      <c r="G45" s="153">
        <v>48</v>
      </c>
      <c r="H45" s="153">
        <v>55</v>
      </c>
    </row>
    <row r="46" spans="1:8">
      <c r="A46" s="62" t="s">
        <v>13</v>
      </c>
      <c r="B46" s="127" t="s">
        <v>2</v>
      </c>
      <c r="C46" s="127" t="s">
        <v>1</v>
      </c>
      <c r="D46" s="127"/>
      <c r="E46" s="127"/>
      <c r="F46" s="127"/>
      <c r="G46" s="153">
        <v>56.87</v>
      </c>
      <c r="H46" s="153">
        <v>56.87</v>
      </c>
    </row>
    <row r="47" spans="1:8">
      <c r="A47" s="62" t="s">
        <v>30</v>
      </c>
      <c r="B47" s="127" t="s">
        <v>2</v>
      </c>
      <c r="C47" s="127" t="s">
        <v>1</v>
      </c>
      <c r="D47" s="127"/>
      <c r="E47" s="127"/>
      <c r="F47" s="127"/>
      <c r="G47" s="153">
        <v>220</v>
      </c>
      <c r="H47" s="153">
        <v>220</v>
      </c>
    </row>
    <row r="48" spans="1:8">
      <c r="A48" s="62" t="s">
        <v>35</v>
      </c>
      <c r="B48" s="127" t="s">
        <v>2</v>
      </c>
      <c r="C48" s="127" t="s">
        <v>1</v>
      </c>
      <c r="D48" s="127"/>
      <c r="E48" s="127"/>
      <c r="F48" s="127"/>
      <c r="G48" s="153">
        <v>57</v>
      </c>
      <c r="H48" s="153">
        <v>57</v>
      </c>
    </row>
    <row r="49" spans="1:8">
      <c r="A49" s="62" t="s">
        <v>147</v>
      </c>
      <c r="B49" s="127" t="s">
        <v>2</v>
      </c>
      <c r="C49" s="127" t="s">
        <v>2</v>
      </c>
      <c r="D49" s="127" t="s">
        <v>3</v>
      </c>
      <c r="E49" s="127" t="s">
        <v>4</v>
      </c>
      <c r="F49" s="127" t="s">
        <v>3</v>
      </c>
      <c r="G49" s="153">
        <v>43</v>
      </c>
      <c r="H49" s="153">
        <v>43</v>
      </c>
    </row>
    <row r="50" spans="1:8">
      <c r="A50" s="62" t="s">
        <v>28</v>
      </c>
      <c r="B50" s="127" t="s">
        <v>2</v>
      </c>
      <c r="C50" s="127" t="s">
        <v>1</v>
      </c>
      <c r="D50" s="127"/>
      <c r="E50" s="127"/>
      <c r="F50" s="127"/>
      <c r="G50" s="153">
        <v>71</v>
      </c>
      <c r="H50" s="153">
        <v>71</v>
      </c>
    </row>
    <row r="51" spans="1:8">
      <c r="A51" s="62" t="s">
        <v>21</v>
      </c>
      <c r="B51" s="127" t="s">
        <v>2</v>
      </c>
      <c r="C51" s="127" t="s">
        <v>2</v>
      </c>
      <c r="D51" s="127" t="s">
        <v>4</v>
      </c>
      <c r="E51" s="127" t="s">
        <v>3</v>
      </c>
      <c r="F51" s="127" t="s">
        <v>3</v>
      </c>
      <c r="G51" s="153">
        <v>60.1</v>
      </c>
      <c r="H51" s="153">
        <v>60.1</v>
      </c>
    </row>
    <row r="52" spans="1:8">
      <c r="A52" s="62" t="s">
        <v>5</v>
      </c>
      <c r="B52" s="127" t="s">
        <v>2</v>
      </c>
      <c r="C52" s="127" t="s">
        <v>1</v>
      </c>
      <c r="D52" s="127"/>
      <c r="E52" s="127"/>
      <c r="F52" s="127"/>
      <c r="G52" s="153">
        <v>51</v>
      </c>
      <c r="H52" s="153">
        <v>81</v>
      </c>
    </row>
    <row r="53" spans="1:8">
      <c r="A53" s="62" t="s">
        <v>6</v>
      </c>
      <c r="B53" s="127" t="s">
        <v>2</v>
      </c>
      <c r="C53" s="127" t="s">
        <v>1</v>
      </c>
      <c r="D53" s="127"/>
      <c r="E53" s="127"/>
      <c r="F53" s="127"/>
      <c r="G53" s="153">
        <v>25</v>
      </c>
      <c r="H53" s="153">
        <v>55</v>
      </c>
    </row>
    <row r="54" spans="1:8">
      <c r="A54" s="62" t="s">
        <v>42</v>
      </c>
      <c r="B54" s="127" t="s">
        <v>2</v>
      </c>
      <c r="C54" s="127" t="s">
        <v>2</v>
      </c>
      <c r="D54" s="127" t="s">
        <v>146</v>
      </c>
      <c r="E54" s="127" t="s">
        <v>146</v>
      </c>
      <c r="F54" s="127" t="s">
        <v>146</v>
      </c>
      <c r="G54" s="153">
        <v>55</v>
      </c>
      <c r="H54" s="153">
        <v>55</v>
      </c>
    </row>
    <row r="55" spans="1:8">
      <c r="A55" s="62" t="s">
        <v>23</v>
      </c>
      <c r="B55" s="127" t="s">
        <v>2</v>
      </c>
      <c r="C55" s="148" t="s">
        <v>2</v>
      </c>
      <c r="D55" s="148" t="s">
        <v>3</v>
      </c>
      <c r="E55" s="127" t="s">
        <v>146</v>
      </c>
      <c r="F55" s="127" t="s">
        <v>3</v>
      </c>
      <c r="G55" s="153">
        <v>55</v>
      </c>
      <c r="H55" s="153">
        <v>55</v>
      </c>
    </row>
    <row r="56" spans="1:8">
      <c r="A56" s="62" t="s">
        <v>25</v>
      </c>
      <c r="B56" s="127" t="s">
        <v>2</v>
      </c>
      <c r="C56" s="127" t="s">
        <v>2</v>
      </c>
      <c r="D56" s="127" t="s">
        <v>3</v>
      </c>
      <c r="E56" s="127" t="s">
        <v>4</v>
      </c>
      <c r="F56" s="127" t="s">
        <v>146</v>
      </c>
      <c r="G56" s="153">
        <v>58</v>
      </c>
      <c r="H56" s="153">
        <v>58</v>
      </c>
    </row>
    <row r="57" spans="1:8">
      <c r="A57" s="62" t="s">
        <v>36</v>
      </c>
      <c r="B57" s="127" t="s">
        <v>2</v>
      </c>
      <c r="C57" s="127" t="s">
        <v>2</v>
      </c>
      <c r="D57" s="127" t="s">
        <v>146</v>
      </c>
      <c r="E57" s="127" t="s">
        <v>146</v>
      </c>
      <c r="F57" s="127" t="s">
        <v>4</v>
      </c>
      <c r="G57" s="153">
        <v>25</v>
      </c>
      <c r="H57" s="153">
        <v>30</v>
      </c>
    </row>
    <row r="58" spans="1:8">
      <c r="A58" s="62" t="s">
        <v>39</v>
      </c>
      <c r="B58" s="127" t="s">
        <v>2</v>
      </c>
      <c r="C58" s="127" t="s">
        <v>1</v>
      </c>
      <c r="D58" s="127"/>
      <c r="E58" s="127"/>
      <c r="F58" s="127"/>
      <c r="G58" s="153">
        <v>55</v>
      </c>
      <c r="H58" s="153">
        <v>55</v>
      </c>
    </row>
    <row r="59" spans="1:8">
      <c r="A59" s="62" t="s">
        <v>37</v>
      </c>
      <c r="B59" s="127" t="s">
        <v>2</v>
      </c>
      <c r="C59" s="127" t="s">
        <v>2</v>
      </c>
      <c r="D59" s="127" t="s">
        <v>146</v>
      </c>
      <c r="E59" s="127" t="s">
        <v>4</v>
      </c>
      <c r="F59" s="127" t="s">
        <v>3</v>
      </c>
      <c r="G59" s="153">
        <v>20.75</v>
      </c>
      <c r="H59" s="153">
        <v>36</v>
      </c>
    </row>
    <row r="60" spans="1:8">
      <c r="A60" s="62" t="s">
        <v>12</v>
      </c>
      <c r="B60" s="127" t="s">
        <v>2</v>
      </c>
      <c r="C60" s="127" t="s">
        <v>2</v>
      </c>
      <c r="D60" s="127" t="s">
        <v>146</v>
      </c>
      <c r="E60" s="127" t="s">
        <v>146</v>
      </c>
      <c r="F60" s="127" t="s">
        <v>3</v>
      </c>
      <c r="G60" s="153">
        <v>50</v>
      </c>
      <c r="H60" s="153">
        <v>50</v>
      </c>
    </row>
    <row r="61" spans="1:8">
      <c r="A61" s="62" t="s">
        <v>27</v>
      </c>
      <c r="B61" s="127" t="s">
        <v>2</v>
      </c>
      <c r="C61" s="127" t="s">
        <v>2</v>
      </c>
      <c r="D61" s="127" t="s">
        <v>146</v>
      </c>
      <c r="E61" s="127" t="s">
        <v>146</v>
      </c>
      <c r="F61" s="127" t="s">
        <v>3</v>
      </c>
      <c r="G61" s="153">
        <v>0</v>
      </c>
      <c r="H61" s="153">
        <v>30</v>
      </c>
    </row>
    <row r="62" spans="1:8">
      <c r="A62" s="62" t="s">
        <v>72</v>
      </c>
      <c r="B62" s="127" t="s">
        <v>2</v>
      </c>
      <c r="C62" s="127" t="s">
        <v>2</v>
      </c>
      <c r="D62" s="127" t="s">
        <v>146</v>
      </c>
      <c r="E62" s="127" t="s">
        <v>146</v>
      </c>
      <c r="F62" s="127" t="s">
        <v>3</v>
      </c>
      <c r="G62" s="153">
        <v>55</v>
      </c>
      <c r="H62" s="153">
        <v>55</v>
      </c>
    </row>
    <row r="63" spans="1:8">
      <c r="A63" s="62" t="s">
        <v>34</v>
      </c>
      <c r="B63" s="127" t="s">
        <v>2</v>
      </c>
      <c r="C63" s="127" t="s">
        <v>2</v>
      </c>
      <c r="D63" s="127" t="s">
        <v>4</v>
      </c>
      <c r="E63" s="127" t="s">
        <v>3</v>
      </c>
      <c r="F63" s="127" t="s">
        <v>3</v>
      </c>
      <c r="G63" s="153">
        <v>0</v>
      </c>
      <c r="H63" s="153">
        <v>0</v>
      </c>
    </row>
    <row r="64" spans="1:8">
      <c r="A64" s="62" t="s">
        <v>33</v>
      </c>
      <c r="B64" s="127" t="s">
        <v>2</v>
      </c>
      <c r="C64" s="127" t="s">
        <v>1</v>
      </c>
      <c r="D64" s="127"/>
      <c r="E64" s="127"/>
      <c r="F64" s="127"/>
      <c r="G64" s="153">
        <v>41</v>
      </c>
      <c r="H64" s="153">
        <v>41</v>
      </c>
    </row>
    <row r="65" spans="1:22">
      <c r="A65" s="62" t="s">
        <v>11</v>
      </c>
      <c r="B65" s="127" t="s">
        <v>2</v>
      </c>
      <c r="C65" s="127" t="s">
        <v>1</v>
      </c>
      <c r="D65" s="127"/>
      <c r="E65" s="127"/>
      <c r="F65" s="127"/>
      <c r="G65" s="153">
        <v>0</v>
      </c>
      <c r="H65" s="153">
        <v>0</v>
      </c>
    </row>
    <row r="66" spans="1:22">
      <c r="A66" s="62" t="s">
        <v>29</v>
      </c>
      <c r="B66" s="127" t="s">
        <v>2</v>
      </c>
      <c r="C66" s="127" t="s">
        <v>2</v>
      </c>
      <c r="D66" s="127" t="s">
        <v>146</v>
      </c>
      <c r="E66" s="127" t="s">
        <v>146</v>
      </c>
      <c r="F66" s="127" t="s">
        <v>146</v>
      </c>
      <c r="G66" s="160">
        <v>56.87</v>
      </c>
      <c r="H66" s="160">
        <v>56.87</v>
      </c>
    </row>
    <row r="67" spans="1:22">
      <c r="A67" s="62" t="s">
        <v>14</v>
      </c>
      <c r="B67" s="127" t="s">
        <v>2</v>
      </c>
      <c r="C67" s="127" t="s">
        <v>2</v>
      </c>
      <c r="D67" s="127" t="s">
        <v>4</v>
      </c>
      <c r="E67" s="127" t="s">
        <v>3</v>
      </c>
      <c r="F67" s="127" t="s">
        <v>3</v>
      </c>
      <c r="G67" s="153">
        <v>100</v>
      </c>
      <c r="H67" s="153">
        <v>100</v>
      </c>
    </row>
    <row r="68" spans="1:22">
      <c r="A68" s="62" t="s">
        <v>16</v>
      </c>
      <c r="B68" s="127" t="s">
        <v>2</v>
      </c>
      <c r="C68" s="127" t="s">
        <v>2</v>
      </c>
      <c r="D68" s="127" t="s">
        <v>3</v>
      </c>
      <c r="E68" s="127" t="s">
        <v>146</v>
      </c>
      <c r="F68" s="127" t="s">
        <v>146</v>
      </c>
      <c r="G68" s="153">
        <v>78</v>
      </c>
      <c r="H68" s="153">
        <v>121</v>
      </c>
    </row>
    <row r="69" spans="1:22">
      <c r="A69" s="62" t="s">
        <v>7</v>
      </c>
      <c r="B69" s="127" t="s">
        <v>2</v>
      </c>
      <c r="C69" s="127" t="s">
        <v>2</v>
      </c>
      <c r="D69" s="127" t="s">
        <v>146</v>
      </c>
      <c r="E69" s="127" t="s">
        <v>146</v>
      </c>
      <c r="F69" s="127" t="s">
        <v>3</v>
      </c>
      <c r="G69" s="153">
        <v>86.87</v>
      </c>
      <c r="H69" s="153">
        <v>86.87</v>
      </c>
    </row>
    <row r="70" spans="1:22">
      <c r="A70" s="62" t="s">
        <v>15</v>
      </c>
      <c r="B70" s="127" t="s">
        <v>2</v>
      </c>
      <c r="C70" s="127" t="s">
        <v>1</v>
      </c>
      <c r="D70" s="127"/>
      <c r="E70" s="127"/>
      <c r="F70" s="127"/>
      <c r="G70" s="153">
        <v>92</v>
      </c>
      <c r="H70" s="153">
        <v>92</v>
      </c>
    </row>
    <row r="71" spans="1:22">
      <c r="A71" s="62" t="s">
        <v>26</v>
      </c>
      <c r="B71" s="127" t="s">
        <v>1</v>
      </c>
      <c r="C71" s="127" t="s">
        <v>2</v>
      </c>
      <c r="D71" s="127" t="s">
        <v>3</v>
      </c>
      <c r="E71" s="127" t="s">
        <v>4</v>
      </c>
      <c r="F71" s="127" t="s">
        <v>3</v>
      </c>
      <c r="G71" s="153">
        <v>55</v>
      </c>
      <c r="H71" s="153">
        <v>63</v>
      </c>
    </row>
    <row r="72" spans="1:22" s="44" customFormat="1" ht="16.5" thickBot="1">
      <c r="A72" s="128" t="s">
        <v>73</v>
      </c>
      <c r="B72" s="149" t="s">
        <v>90</v>
      </c>
      <c r="C72" s="149" t="s">
        <v>90</v>
      </c>
      <c r="D72" s="149" t="s">
        <v>90</v>
      </c>
      <c r="E72" s="149" t="s">
        <v>90</v>
      </c>
      <c r="F72" s="149" t="s">
        <v>90</v>
      </c>
      <c r="G72" s="154">
        <f>AVERAGE(G26:G71)</f>
        <v>53.138043478260855</v>
      </c>
      <c r="H72" s="154">
        <f>AVERAGE(H26:H71)</f>
        <v>62.513043478260855</v>
      </c>
    </row>
    <row r="73" spans="1:22" s="37" customFormat="1" ht="22.5" customHeight="1">
      <c r="A73" s="221" t="s">
        <v>161</v>
      </c>
      <c r="B73" s="221"/>
      <c r="C73" s="222"/>
      <c r="D73" s="222"/>
      <c r="E73" s="222"/>
      <c r="F73" s="222"/>
      <c r="G73" s="222"/>
      <c r="H73" s="35"/>
      <c r="I73" s="36"/>
      <c r="J73" s="36"/>
      <c r="K73" s="36"/>
      <c r="L73" s="36"/>
      <c r="M73" s="36"/>
      <c r="N73" s="36"/>
      <c r="O73" s="36"/>
      <c r="P73" s="36"/>
      <c r="Q73" s="36"/>
      <c r="R73" s="36"/>
      <c r="S73" s="36"/>
      <c r="T73" s="36"/>
      <c r="U73" s="36"/>
      <c r="V73" s="36"/>
    </row>
    <row r="74" spans="1:22" s="37" customFormat="1" ht="31.5" hidden="1" customHeight="1">
      <c r="A74" s="223" t="s">
        <v>91</v>
      </c>
      <c r="B74" s="223"/>
      <c r="C74" s="224"/>
      <c r="D74" s="224"/>
      <c r="E74" s="224"/>
      <c r="F74" s="224"/>
      <c r="G74" s="224"/>
      <c r="H74" s="35"/>
      <c r="I74" s="36"/>
      <c r="J74" s="36"/>
      <c r="K74" s="36"/>
      <c r="L74" s="36"/>
      <c r="M74" s="36"/>
      <c r="N74" s="36"/>
      <c r="O74" s="36"/>
      <c r="P74" s="36"/>
      <c r="Q74" s="36"/>
      <c r="R74" s="36"/>
      <c r="S74" s="36"/>
      <c r="T74" s="36"/>
      <c r="U74" s="36"/>
      <c r="V74" s="36"/>
    </row>
    <row r="75" spans="1:22" ht="18.75" customHeight="1">
      <c r="A75" s="219" t="s">
        <v>92</v>
      </c>
      <c r="B75" s="219"/>
      <c r="C75" s="220"/>
      <c r="D75" s="220"/>
      <c r="E75" s="220"/>
      <c r="F75" s="220"/>
      <c r="G75" s="220"/>
    </row>
    <row r="76" spans="1:22" ht="33.75" customHeight="1">
      <c r="A76" s="216" t="s">
        <v>165</v>
      </c>
      <c r="B76" s="216"/>
      <c r="C76" s="217"/>
      <c r="D76" s="217"/>
      <c r="E76" s="217"/>
      <c r="F76" s="217"/>
      <c r="G76" s="217"/>
    </row>
    <row r="77" spans="1:22" ht="33.75" customHeight="1">
      <c r="A77" s="216" t="s">
        <v>93</v>
      </c>
      <c r="B77" s="216"/>
      <c r="C77" s="217"/>
      <c r="D77" s="217"/>
      <c r="E77" s="217"/>
      <c r="F77" s="217"/>
      <c r="G77" s="217"/>
    </row>
    <row r="78" spans="1:22" ht="30" customHeight="1">
      <c r="A78" s="216" t="s">
        <v>94</v>
      </c>
      <c r="B78" s="216"/>
      <c r="C78" s="217"/>
      <c r="D78" s="217"/>
      <c r="E78" s="217"/>
      <c r="F78" s="217"/>
      <c r="G78" s="217"/>
    </row>
    <row r="79" spans="1:22" ht="16.5" customHeight="1">
      <c r="A79" s="216" t="s">
        <v>95</v>
      </c>
      <c r="B79" s="216"/>
      <c r="C79" s="217"/>
      <c r="D79" s="217"/>
      <c r="E79" s="217"/>
      <c r="F79" s="217"/>
      <c r="G79" s="217"/>
    </row>
    <row r="80" spans="1:22" ht="15.75" customHeight="1">
      <c r="A80" s="216" t="s">
        <v>96</v>
      </c>
      <c r="B80" s="216"/>
      <c r="C80" s="217"/>
      <c r="D80" s="217"/>
      <c r="E80" s="217"/>
      <c r="F80" s="217"/>
      <c r="G80" s="217"/>
    </row>
    <row r="81" spans="1:11" ht="27.75" customHeight="1">
      <c r="A81" s="216" t="s">
        <v>97</v>
      </c>
      <c r="B81" s="216"/>
      <c r="C81" s="217"/>
      <c r="D81" s="217"/>
      <c r="E81" s="217"/>
      <c r="F81" s="217"/>
      <c r="G81" s="217"/>
    </row>
    <row r="82" spans="1:11" s="46" customFormat="1" ht="12.75">
      <c r="A82" s="186"/>
      <c r="B82" s="186"/>
      <c r="C82" s="218"/>
      <c r="D82" s="218"/>
      <c r="E82" s="218"/>
      <c r="F82" s="218"/>
      <c r="G82" s="218"/>
      <c r="H82" s="218"/>
      <c r="I82" s="218"/>
      <c r="J82" s="218"/>
      <c r="K82" s="218"/>
    </row>
    <row r="83" spans="1:11">
      <c r="A83" s="20"/>
    </row>
  </sheetData>
  <mergeCells count="13">
    <mergeCell ref="A73:G73"/>
    <mergeCell ref="A74:G74"/>
    <mergeCell ref="A20:F20"/>
    <mergeCell ref="A21:F21"/>
    <mergeCell ref="D24:F24"/>
    <mergeCell ref="A81:G81"/>
    <mergeCell ref="A82:K82"/>
    <mergeCell ref="A75:G75"/>
    <mergeCell ref="A77:G77"/>
    <mergeCell ref="A78:G78"/>
    <mergeCell ref="A79:G79"/>
    <mergeCell ref="A80:G80"/>
    <mergeCell ref="A76:G76"/>
  </mergeCells>
  <conditionalFormatting sqref="K82">
    <cfRule type="cellIs" dxfId="2" priority="1" operator="lessThan">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81B5B-FF14-4191-AF48-5A856A133913}">
  <sheetPr>
    <tabColor theme="9" tint="0.79998168889431442"/>
  </sheetPr>
  <dimension ref="A1:M17"/>
  <sheetViews>
    <sheetView workbookViewId="0">
      <selection sqref="A1:H1"/>
    </sheetView>
  </sheetViews>
  <sheetFormatPr defaultColWidth="9.140625" defaultRowHeight="15.75"/>
  <cols>
    <col min="1" max="1" width="27.140625" style="38" customWidth="1"/>
    <col min="2" max="2" width="18.5703125" style="38" customWidth="1"/>
    <col min="3" max="3" width="15.42578125" style="38" customWidth="1"/>
    <col min="4" max="4" width="18" style="38" customWidth="1"/>
    <col min="5" max="5" width="16.85546875" style="38" customWidth="1"/>
    <col min="6" max="6" width="17" style="38" customWidth="1"/>
    <col min="7" max="7" width="14.42578125" style="38" customWidth="1"/>
    <col min="8" max="9" width="15.7109375" style="38" customWidth="1"/>
    <col min="10" max="16384" width="9.140625" style="4"/>
  </cols>
  <sheetData>
    <row r="1" spans="1:13" ht="38.25" customHeight="1">
      <c r="A1" s="188" t="s">
        <v>175</v>
      </c>
      <c r="B1" s="230"/>
      <c r="C1" s="230"/>
      <c r="D1" s="230"/>
      <c r="E1" s="230"/>
      <c r="F1" s="230"/>
      <c r="G1" s="230"/>
      <c r="H1" s="230"/>
      <c r="I1" s="155"/>
    </row>
    <row r="2" spans="1:13" ht="63">
      <c r="A2" s="77"/>
      <c r="B2" s="140" t="s">
        <v>98</v>
      </c>
      <c r="C2" s="140" t="s">
        <v>99</v>
      </c>
      <c r="D2" s="140" t="s">
        <v>100</v>
      </c>
      <c r="E2" s="140" t="s">
        <v>101</v>
      </c>
      <c r="F2" s="140" t="s">
        <v>102</v>
      </c>
      <c r="G2" s="140" t="s">
        <v>103</v>
      </c>
      <c r="H2" s="140" t="s">
        <v>104</v>
      </c>
      <c r="I2" s="89" t="s">
        <v>137</v>
      </c>
      <c r="J2" s="38"/>
      <c r="K2" s="38"/>
    </row>
    <row r="3" spans="1:13">
      <c r="A3" s="25" t="s">
        <v>105</v>
      </c>
      <c r="B3" s="24">
        <v>0.43181818181818182</v>
      </c>
      <c r="C3" s="24">
        <v>0.13636363636363635</v>
      </c>
      <c r="D3" s="24">
        <v>2.2727272727272728E-2</v>
      </c>
      <c r="E3" s="24">
        <v>9.0909090909090912E-2</v>
      </c>
      <c r="F3" s="24">
        <v>2.2727272727272728E-2</v>
      </c>
      <c r="G3" s="24">
        <v>2.2727272727272728E-2</v>
      </c>
      <c r="H3" s="24">
        <v>2.2727272727272728E-2</v>
      </c>
      <c r="I3" s="178">
        <v>0.56818181818181823</v>
      </c>
    </row>
    <row r="4" spans="1:13">
      <c r="A4" s="25" t="s">
        <v>106</v>
      </c>
      <c r="B4" s="24">
        <v>0.15909090909090909</v>
      </c>
      <c r="C4" s="24">
        <v>0.15909090909090909</v>
      </c>
      <c r="D4" s="24">
        <v>2.2727272727272728E-2</v>
      </c>
      <c r="E4" s="24">
        <v>9.0909090909090912E-2</v>
      </c>
      <c r="F4" s="24">
        <v>9.0909090909090912E-2</v>
      </c>
      <c r="G4" s="24">
        <v>2.2727272727272728E-2</v>
      </c>
      <c r="H4" s="24">
        <v>0.13636363636363635</v>
      </c>
      <c r="I4" s="178">
        <v>4.5454545454545456E-2</v>
      </c>
    </row>
    <row r="5" spans="1:13" ht="17.25" customHeight="1" thickBot="1">
      <c r="A5" s="29" t="s">
        <v>176</v>
      </c>
      <c r="B5" s="143">
        <f>1-SUM(B3:B4)</f>
        <v>0.40909090909090906</v>
      </c>
      <c r="C5" s="143">
        <f t="shared" ref="C5:I5" si="0">1-SUM(C3:C4)</f>
        <v>0.70454545454545459</v>
      </c>
      <c r="D5" s="143">
        <f t="shared" si="0"/>
        <v>0.95454545454545459</v>
      </c>
      <c r="E5" s="143">
        <f t="shared" si="0"/>
        <v>0.81818181818181812</v>
      </c>
      <c r="F5" s="143">
        <f t="shared" si="0"/>
        <v>0.88636363636363635</v>
      </c>
      <c r="G5" s="143">
        <f t="shared" si="0"/>
        <v>0.95454545454545459</v>
      </c>
      <c r="H5" s="143">
        <f t="shared" si="0"/>
        <v>0.84090909090909094</v>
      </c>
      <c r="I5" s="179">
        <f t="shared" si="0"/>
        <v>0.38636363636363635</v>
      </c>
    </row>
    <row r="6" spans="1:13" s="37" customFormat="1">
      <c r="A6" s="45" t="s">
        <v>157</v>
      </c>
      <c r="B6" s="40"/>
      <c r="C6" s="40"/>
      <c r="D6" s="40"/>
      <c r="E6" s="40"/>
      <c r="F6" s="40"/>
      <c r="G6" s="40"/>
      <c r="H6" s="40"/>
      <c r="I6" s="40"/>
      <c r="J6" s="36"/>
      <c r="K6" s="36"/>
      <c r="L6" s="36"/>
      <c r="M6" s="36"/>
    </row>
    <row r="7" spans="1:13">
      <c r="A7" s="20" t="s">
        <v>173</v>
      </c>
      <c r="B7" s="46"/>
      <c r="C7" s="46"/>
      <c r="D7" s="46"/>
      <c r="E7" s="46"/>
      <c r="F7" s="46"/>
      <c r="G7" s="46"/>
      <c r="H7" s="46"/>
      <c r="I7" s="46"/>
    </row>
    <row r="8" spans="1:13" ht="16.5" thickBot="1">
      <c r="B8" s="4"/>
      <c r="C8" s="4"/>
      <c r="D8" s="4"/>
      <c r="E8" s="4"/>
      <c r="F8" s="4"/>
      <c r="G8" s="4"/>
      <c r="H8" s="4"/>
      <c r="I8" s="4"/>
    </row>
    <row r="9" spans="1:13" ht="36" customHeight="1">
      <c r="A9" s="231" t="s">
        <v>107</v>
      </c>
      <c r="B9" s="232"/>
      <c r="C9" s="232"/>
      <c r="D9" s="232"/>
      <c r="E9" s="232"/>
      <c r="F9" s="232"/>
      <c r="G9" s="233"/>
      <c r="H9" s="4"/>
      <c r="I9" s="4"/>
    </row>
    <row r="10" spans="1:13" s="15" customFormat="1" ht="47.25">
      <c r="A10" s="156"/>
      <c r="B10" s="157" t="s">
        <v>108</v>
      </c>
      <c r="C10" s="158" t="s">
        <v>109</v>
      </c>
      <c r="D10" s="158" t="s">
        <v>110</v>
      </c>
      <c r="E10" s="158" t="s">
        <v>111</v>
      </c>
      <c r="F10" s="158" t="s">
        <v>112</v>
      </c>
      <c r="G10" s="159" t="s">
        <v>113</v>
      </c>
    </row>
    <row r="11" spans="1:13">
      <c r="A11" s="47" t="s">
        <v>114</v>
      </c>
      <c r="B11" s="141">
        <v>3</v>
      </c>
      <c r="C11" s="141">
        <v>3</v>
      </c>
      <c r="D11" s="141">
        <v>7</v>
      </c>
      <c r="E11" s="141">
        <v>5</v>
      </c>
      <c r="F11" s="141">
        <v>9</v>
      </c>
      <c r="G11" s="142">
        <v>19</v>
      </c>
      <c r="H11" s="53"/>
      <c r="I11" s="53"/>
    </row>
    <row r="12" spans="1:13" ht="16.5" thickBot="1">
      <c r="A12" s="48" t="s">
        <v>115</v>
      </c>
      <c r="B12" s="49">
        <v>1</v>
      </c>
      <c r="C12" s="49">
        <v>6</v>
      </c>
      <c r="D12" s="49">
        <v>6</v>
      </c>
      <c r="E12" s="49">
        <v>2</v>
      </c>
      <c r="F12" s="49">
        <v>7</v>
      </c>
      <c r="G12" s="50">
        <v>5</v>
      </c>
      <c r="H12" s="53"/>
      <c r="I12" s="53"/>
    </row>
    <row r="13" spans="1:13" s="37" customFormat="1">
      <c r="A13" s="221" t="s">
        <v>157</v>
      </c>
      <c r="B13" s="234"/>
      <c r="C13" s="234"/>
      <c r="D13" s="234"/>
      <c r="E13" s="234"/>
      <c r="F13" s="234"/>
      <c r="G13" s="234"/>
      <c r="H13" s="45"/>
      <c r="I13" s="45"/>
      <c r="J13" s="36"/>
      <c r="K13" s="36"/>
      <c r="L13" s="36"/>
      <c r="M13" s="36"/>
    </row>
    <row r="14" spans="1:13">
      <c r="A14" s="186" t="s">
        <v>138</v>
      </c>
      <c r="B14" s="186"/>
      <c r="C14" s="186"/>
      <c r="D14" s="186"/>
      <c r="E14" s="186"/>
      <c r="F14" s="186"/>
      <c r="G14" s="186"/>
      <c r="H14" s="186"/>
      <c r="I14" s="186"/>
    </row>
    <row r="15" spans="1:13" ht="29.25" customHeight="1">
      <c r="A15" s="200" t="s">
        <v>177</v>
      </c>
      <c r="B15" s="229"/>
      <c r="C15" s="229"/>
      <c r="D15" s="229"/>
      <c r="E15" s="229"/>
      <c r="F15" s="229"/>
      <c r="G15" s="229"/>
      <c r="H15" s="4"/>
      <c r="I15" s="4"/>
    </row>
    <row r="16" spans="1:13">
      <c r="D16" s="4"/>
      <c r="E16" s="4"/>
      <c r="F16" s="4"/>
      <c r="G16" s="4"/>
      <c r="H16" s="4"/>
      <c r="I16" s="4"/>
    </row>
    <row r="17" spans="4:9">
      <c r="D17" s="4"/>
      <c r="E17" s="4"/>
      <c r="F17" s="4"/>
      <c r="G17" s="4"/>
      <c r="H17" s="4"/>
      <c r="I17" s="4"/>
    </row>
  </sheetData>
  <mergeCells count="5">
    <mergeCell ref="A15:G15"/>
    <mergeCell ref="A1:H1"/>
    <mergeCell ref="A9:G9"/>
    <mergeCell ref="A13:G13"/>
    <mergeCell ref="A14:I14"/>
  </mergeCells>
  <conditionalFormatting sqref="B8:I8">
    <cfRule type="cellIs" dxfId="1" priority="1" operator="equal">
      <formula>"Sometimes"</formula>
    </cfRule>
    <cfRule type="cellIs" dxfId="0" priority="2" operator="equal">
      <formula>"Always"</formula>
    </cfRule>
  </conditionalFormatting>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3E73D-20FB-496B-8246-8B80DC7249D5}">
  <sheetPr>
    <tabColor theme="9" tint="0.79998168889431442"/>
  </sheetPr>
  <dimension ref="A1:E11"/>
  <sheetViews>
    <sheetView workbookViewId="0">
      <pane xSplit="1" topLeftCell="B1" activePane="topRight" state="frozen"/>
      <selection pane="topRight" activeCell="C7" sqref="C7"/>
    </sheetView>
  </sheetViews>
  <sheetFormatPr defaultColWidth="9.140625" defaultRowHeight="15.75"/>
  <cols>
    <col min="1" max="1" width="51.42578125" style="38" customWidth="1"/>
    <col min="2" max="2" width="15.7109375" style="53" customWidth="1"/>
    <col min="3" max="3" width="23.5703125" style="54" customWidth="1"/>
    <col min="4" max="4" width="20.7109375" style="54" customWidth="1"/>
    <col min="5" max="16384" width="9.140625" style="4"/>
  </cols>
  <sheetData>
    <row r="1" spans="1:5" ht="27" customHeight="1">
      <c r="A1" s="235" t="s">
        <v>116</v>
      </c>
      <c r="B1" s="236"/>
      <c r="C1" s="236"/>
      <c r="D1" s="236"/>
    </row>
    <row r="2" spans="1:5" ht="63">
      <c r="A2" s="77" t="s">
        <v>117</v>
      </c>
      <c r="B2" s="90" t="s">
        <v>118</v>
      </c>
      <c r="C2" s="91" t="s">
        <v>119</v>
      </c>
      <c r="D2" s="92" t="s">
        <v>178</v>
      </c>
    </row>
    <row r="3" spans="1:5">
      <c r="A3" s="62" t="s">
        <v>120</v>
      </c>
      <c r="B3" s="93">
        <v>2</v>
      </c>
      <c r="C3" s="136">
        <v>5202726007</v>
      </c>
      <c r="D3" s="137">
        <v>2580474</v>
      </c>
    </row>
    <row r="4" spans="1:5">
      <c r="A4" s="62" t="s">
        <v>17</v>
      </c>
      <c r="B4" s="93">
        <v>2</v>
      </c>
      <c r="C4" s="136">
        <v>2661333850</v>
      </c>
      <c r="D4" s="137">
        <v>1308182.3899999999</v>
      </c>
    </row>
    <row r="5" spans="1:5">
      <c r="A5" s="62" t="s">
        <v>71</v>
      </c>
      <c r="B5" s="93">
        <v>2</v>
      </c>
      <c r="C5" s="136">
        <v>3922054204</v>
      </c>
      <c r="D5" s="137">
        <v>1536291</v>
      </c>
    </row>
    <row r="6" spans="1:5">
      <c r="A6" s="62" t="s">
        <v>19</v>
      </c>
      <c r="B6" s="93">
        <v>8</v>
      </c>
      <c r="C6" s="136">
        <v>16092246698</v>
      </c>
      <c r="D6" s="137">
        <v>6795626</v>
      </c>
    </row>
    <row r="7" spans="1:5">
      <c r="A7" s="62" t="s">
        <v>21</v>
      </c>
      <c r="B7" s="93">
        <v>1</v>
      </c>
      <c r="C7" s="136">
        <v>6861789030</v>
      </c>
      <c r="D7" s="137">
        <v>1132195.19</v>
      </c>
    </row>
    <row r="8" spans="1:5">
      <c r="A8" s="62" t="s">
        <v>6</v>
      </c>
      <c r="B8" s="93">
        <v>1</v>
      </c>
      <c r="C8" s="136">
        <v>1461847992</v>
      </c>
      <c r="D8" s="137">
        <v>620142</v>
      </c>
    </row>
    <row r="9" spans="1:5">
      <c r="A9" s="62" t="s">
        <v>11</v>
      </c>
      <c r="B9" s="93">
        <v>1</v>
      </c>
      <c r="C9" s="136">
        <v>24413583938</v>
      </c>
      <c r="D9" s="137">
        <v>872343</v>
      </c>
    </row>
    <row r="10" spans="1:5" ht="16.5" thickBot="1">
      <c r="A10" s="64" t="s">
        <v>7</v>
      </c>
      <c r="B10" s="93">
        <v>1</v>
      </c>
      <c r="C10" s="136">
        <v>15708469852</v>
      </c>
      <c r="D10" s="137">
        <v>4948168</v>
      </c>
      <c r="E10" s="52"/>
    </row>
    <row r="11" spans="1:5">
      <c r="A11" s="11" t="s">
        <v>179</v>
      </c>
      <c r="B11" s="12"/>
      <c r="C11" s="12"/>
      <c r="D11" s="12"/>
    </row>
  </sheetData>
  <mergeCells count="1">
    <mergeCell ref="A1:D1"/>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478AF-87DA-4544-83A1-E451CAF97B34}">
  <sheetPr>
    <tabColor theme="9" tint="0.79998168889431442"/>
  </sheetPr>
  <dimension ref="A1:P58"/>
  <sheetViews>
    <sheetView workbookViewId="0">
      <pane ySplit="2" topLeftCell="A3" activePane="bottomLeft" state="frozen"/>
      <selection pane="bottomLeft" sqref="A1:F1"/>
    </sheetView>
  </sheetViews>
  <sheetFormatPr defaultColWidth="9.140625" defaultRowHeight="15.75"/>
  <cols>
    <col min="1" max="1" width="51.42578125" style="21" customWidth="1"/>
    <col min="2" max="2" width="26.5703125" style="60" bestFit="1" customWidth="1"/>
    <col min="3" max="3" width="14.85546875" style="61" bestFit="1" customWidth="1"/>
    <col min="4" max="4" width="13.5703125" style="61" bestFit="1" customWidth="1"/>
    <col min="5" max="5" width="16.140625" style="61" customWidth="1"/>
    <col min="6" max="6" width="26.5703125" style="60" bestFit="1" customWidth="1"/>
    <col min="7" max="8" width="10.42578125" style="51" bestFit="1" customWidth="1"/>
    <col min="9" max="9" width="31.28515625" style="28" customWidth="1"/>
    <col min="10" max="10" width="17.42578125" style="28" customWidth="1"/>
    <col min="11" max="15" width="16.42578125" style="28" customWidth="1"/>
    <col min="16" max="16384" width="9.140625" style="4"/>
  </cols>
  <sheetData>
    <row r="1" spans="1:16" ht="29.25" customHeight="1">
      <c r="A1" s="237" t="s">
        <v>184</v>
      </c>
      <c r="B1" s="238"/>
      <c r="C1" s="238"/>
      <c r="D1" s="238"/>
      <c r="E1" s="238"/>
      <c r="F1" s="239"/>
    </row>
    <row r="2" spans="1:16" ht="16.5" thickBot="1">
      <c r="A2" s="94"/>
      <c r="B2" s="95" t="s">
        <v>121</v>
      </c>
      <c r="C2" s="96" t="s">
        <v>122</v>
      </c>
      <c r="D2" s="96" t="s">
        <v>123</v>
      </c>
      <c r="E2" s="96" t="s">
        <v>124</v>
      </c>
      <c r="F2" s="97" t="s">
        <v>180</v>
      </c>
    </row>
    <row r="3" spans="1:16">
      <c r="A3" s="104" t="s">
        <v>68</v>
      </c>
      <c r="B3" s="105">
        <v>259798193232</v>
      </c>
      <c r="C3" s="106">
        <v>0.10780000000000001</v>
      </c>
      <c r="D3" s="106">
        <v>4.1399999999999999E-2</v>
      </c>
      <c r="E3" s="106">
        <f>SUM(D3,C3)</f>
        <v>0.1492</v>
      </c>
      <c r="F3" s="107">
        <f>(B3*E3)/100</f>
        <v>387618904.30214399</v>
      </c>
      <c r="I3" s="98"/>
      <c r="J3" s="101" t="s">
        <v>125</v>
      </c>
      <c r="K3" s="101" t="s">
        <v>126</v>
      </c>
      <c r="L3" s="101" t="s">
        <v>127</v>
      </c>
      <c r="M3" s="101" t="s">
        <v>189</v>
      </c>
      <c r="N3" s="102" t="s">
        <v>188</v>
      </c>
      <c r="O3" s="103" t="s">
        <v>187</v>
      </c>
    </row>
    <row r="4" spans="1:16">
      <c r="A4" s="104" t="s">
        <v>69</v>
      </c>
      <c r="B4" s="105">
        <v>20362269426</v>
      </c>
      <c r="C4" s="106">
        <v>0.1487</v>
      </c>
      <c r="D4" s="106">
        <v>7.3000000000000001E-3</v>
      </c>
      <c r="E4" s="106">
        <f t="shared" ref="E4:E52" si="0">SUM(D4,C4)</f>
        <v>0.156</v>
      </c>
      <c r="F4" s="107">
        <f>(B4*E4)/100</f>
        <v>31765140.304559998</v>
      </c>
      <c r="I4" s="99" t="s">
        <v>128</v>
      </c>
      <c r="J4" s="138">
        <v>0.1454</v>
      </c>
      <c r="K4" s="111">
        <v>0.17369999999999999</v>
      </c>
      <c r="L4" s="111">
        <v>0.15409999999999999</v>
      </c>
      <c r="M4" s="111">
        <v>0.15167818</v>
      </c>
      <c r="N4" s="112">
        <v>0.12743208510638293</v>
      </c>
      <c r="O4" s="113">
        <f>C53</f>
        <v>0.14124264000000003</v>
      </c>
    </row>
    <row r="5" spans="1:16">
      <c r="A5" s="104" t="s">
        <v>74</v>
      </c>
      <c r="B5" s="105">
        <v>25576045117</v>
      </c>
      <c r="C5" s="106">
        <v>0.15890000000000001</v>
      </c>
      <c r="D5" s="106">
        <v>5.6599999999999998E-2</v>
      </c>
      <c r="E5" s="106">
        <f t="shared" si="0"/>
        <v>0.21550000000000002</v>
      </c>
      <c r="F5" s="107">
        <f t="shared" ref="F5:F52" si="1">(B5*E5)/100</f>
        <v>55116377.22713501</v>
      </c>
      <c r="I5" s="99" t="s">
        <v>129</v>
      </c>
      <c r="J5" s="138">
        <v>3.7699999999999997E-2</v>
      </c>
      <c r="K5" s="111">
        <v>3.8800000000000001E-2</v>
      </c>
      <c r="L5" s="111">
        <v>2.8799999999999999E-2</v>
      </c>
      <c r="M5" s="111">
        <v>4.5102062500000012E-2</v>
      </c>
      <c r="N5" s="112">
        <v>2.581610638297872E-2</v>
      </c>
      <c r="O5" s="113">
        <f>D53</f>
        <v>2.3899440000000004E-2</v>
      </c>
    </row>
    <row r="6" spans="1:16">
      <c r="A6" s="104" t="s">
        <v>0</v>
      </c>
      <c r="B6" s="105">
        <v>7449429611</v>
      </c>
      <c r="C6" s="106">
        <v>0.15260000000000001</v>
      </c>
      <c r="D6" s="106">
        <v>1.3299999999999999E-2</v>
      </c>
      <c r="E6" s="106">
        <f t="shared" si="0"/>
        <v>0.16590000000000002</v>
      </c>
      <c r="F6" s="107">
        <f t="shared" si="1"/>
        <v>12358603.724649003</v>
      </c>
      <c r="I6" s="99" t="s">
        <v>130</v>
      </c>
      <c r="J6" s="138">
        <v>0.16800000000000001</v>
      </c>
      <c r="K6" s="111">
        <v>0.19620000000000001</v>
      </c>
      <c r="L6" s="111">
        <v>0.18290000000000001</v>
      </c>
      <c r="M6" s="111">
        <v>0.17987669999999997</v>
      </c>
      <c r="N6" s="112">
        <v>0.16045606382978722</v>
      </c>
      <c r="O6" s="113">
        <f>E53</f>
        <v>0.16514207999999997</v>
      </c>
      <c r="P6" s="55"/>
    </row>
    <row r="7" spans="1:16">
      <c r="A7" s="104" t="s">
        <v>151</v>
      </c>
      <c r="B7" s="105">
        <v>414665575013</v>
      </c>
      <c r="C7" s="106">
        <v>0.09</v>
      </c>
      <c r="D7" s="106">
        <v>1.34E-2</v>
      </c>
      <c r="E7" s="106">
        <f t="shared" si="0"/>
        <v>0.10339999999999999</v>
      </c>
      <c r="F7" s="107">
        <f t="shared" si="1"/>
        <v>428764204.56344199</v>
      </c>
      <c r="I7" s="99" t="s">
        <v>131</v>
      </c>
      <c r="J7" s="138">
        <v>1345</v>
      </c>
      <c r="K7" s="114">
        <v>1572</v>
      </c>
      <c r="L7" s="114">
        <v>1798</v>
      </c>
      <c r="M7" s="114">
        <v>2125.6480549829998</v>
      </c>
      <c r="N7" s="114">
        <v>2199.298422583</v>
      </c>
      <c r="O7" s="115">
        <f>B53/1000000000</f>
        <v>2990.5771782020001</v>
      </c>
    </row>
    <row r="8" spans="1:16">
      <c r="A8" s="104" t="s">
        <v>9</v>
      </c>
      <c r="B8" s="105">
        <v>6455108911</v>
      </c>
      <c r="C8" s="106">
        <v>4.3799999999999999E-2</v>
      </c>
      <c r="D8" s="106">
        <v>0</v>
      </c>
      <c r="E8" s="106">
        <f t="shared" si="0"/>
        <v>4.3799999999999999E-2</v>
      </c>
      <c r="F8" s="107">
        <f t="shared" si="1"/>
        <v>2827337.7030180003</v>
      </c>
      <c r="I8" s="99"/>
      <c r="J8" s="138"/>
      <c r="K8" s="114"/>
      <c r="L8" s="114"/>
      <c r="M8" s="114"/>
      <c r="N8" s="114"/>
      <c r="O8" s="115"/>
    </row>
    <row r="9" spans="1:16">
      <c r="A9" s="104" t="s">
        <v>38</v>
      </c>
      <c r="B9" s="105">
        <v>14505682908</v>
      </c>
      <c r="C9" s="106">
        <v>0.2387</v>
      </c>
      <c r="D9" s="106">
        <v>3.0099999999999998E-2</v>
      </c>
      <c r="E9" s="106">
        <f t="shared" si="0"/>
        <v>0.26879999999999998</v>
      </c>
      <c r="F9" s="107">
        <f t="shared" si="1"/>
        <v>38991275.656703994</v>
      </c>
      <c r="I9" s="99" t="s">
        <v>132</v>
      </c>
      <c r="J9" s="138">
        <v>26901</v>
      </c>
      <c r="K9" s="114">
        <v>31436</v>
      </c>
      <c r="L9" s="114">
        <v>35961</v>
      </c>
      <c r="M9" s="114">
        <v>42512.961099659995</v>
      </c>
      <c r="N9" s="116">
        <v>46793.583459212772</v>
      </c>
      <c r="O9" s="117">
        <f>B57/1000000</f>
        <v>62030.092468937502</v>
      </c>
    </row>
    <row r="10" spans="1:16" ht="14.25" customHeight="1">
      <c r="A10" s="104" t="s">
        <v>8</v>
      </c>
      <c r="B10" s="105">
        <v>18386906190</v>
      </c>
      <c r="C10" s="106">
        <v>8.8300000000000003E-2</v>
      </c>
      <c r="D10" s="106">
        <v>0</v>
      </c>
      <c r="E10" s="106">
        <f t="shared" si="0"/>
        <v>8.8300000000000003E-2</v>
      </c>
      <c r="F10" s="107">
        <f t="shared" si="1"/>
        <v>16235638.165770002</v>
      </c>
      <c r="G10" s="28"/>
      <c r="I10" s="99" t="s">
        <v>133</v>
      </c>
      <c r="J10" s="138">
        <v>1801</v>
      </c>
      <c r="K10" s="114">
        <v>2095</v>
      </c>
      <c r="L10" s="114">
        <v>2381</v>
      </c>
      <c r="M10" s="114">
        <v>2759.8759360264726</v>
      </c>
      <c r="N10" s="114">
        <v>2730.7590085113588</v>
      </c>
      <c r="O10" s="115">
        <f>F53/1000000</f>
        <v>3650.5511322721363</v>
      </c>
    </row>
    <row r="11" spans="1:16" ht="16.5" thickBot="1">
      <c r="A11" s="104" t="s">
        <v>31</v>
      </c>
      <c r="B11" s="105">
        <v>817688878</v>
      </c>
      <c r="C11" s="106">
        <v>0.2</v>
      </c>
      <c r="D11" s="106">
        <v>0</v>
      </c>
      <c r="E11" s="106">
        <f t="shared" si="0"/>
        <v>0.2</v>
      </c>
      <c r="F11" s="107">
        <f t="shared" si="1"/>
        <v>1635377.7560000003</v>
      </c>
      <c r="G11" s="28"/>
      <c r="I11" s="100" t="s">
        <v>134</v>
      </c>
      <c r="J11" s="139">
        <v>36.020000000000003</v>
      </c>
      <c r="K11" s="118">
        <v>41.91</v>
      </c>
      <c r="L11" s="118">
        <v>47.62</v>
      </c>
      <c r="M11" s="118">
        <v>55.197518720529452</v>
      </c>
      <c r="N11" s="118">
        <v>56.890812677319971</v>
      </c>
      <c r="O11" s="119">
        <f>F57/1000000</f>
        <v>75.586865404748494</v>
      </c>
    </row>
    <row r="12" spans="1:16">
      <c r="A12" s="104" t="s">
        <v>17</v>
      </c>
      <c r="B12" s="105">
        <v>342804749</v>
      </c>
      <c r="C12" s="106">
        <v>0.24390000000000001</v>
      </c>
      <c r="D12" s="106">
        <v>0</v>
      </c>
      <c r="E12" s="106">
        <f t="shared" si="0"/>
        <v>0.24390000000000001</v>
      </c>
      <c r="F12" s="107">
        <f t="shared" si="1"/>
        <v>836100.78281100001</v>
      </c>
      <c r="G12" s="28"/>
      <c r="I12" s="56" t="s">
        <v>186</v>
      </c>
      <c r="J12" s="56"/>
      <c r="L12" s="57"/>
      <c r="M12" s="57"/>
    </row>
    <row r="13" spans="1:16">
      <c r="A13" s="104" t="s">
        <v>18</v>
      </c>
      <c r="B13" s="105">
        <v>3423054709</v>
      </c>
      <c r="C13" s="106">
        <v>0.11070000000000001</v>
      </c>
      <c r="D13" s="106">
        <v>1.7999999999999999E-2</v>
      </c>
      <c r="E13" s="106">
        <f t="shared" si="0"/>
        <v>0.12870000000000001</v>
      </c>
      <c r="F13" s="107">
        <f t="shared" si="1"/>
        <v>4405471.4104829999</v>
      </c>
      <c r="G13" s="28"/>
      <c r="I13" s="58"/>
      <c r="J13" s="58"/>
      <c r="M13" s="183"/>
      <c r="O13" s="4"/>
    </row>
    <row r="14" spans="1:16">
      <c r="A14" s="104" t="s">
        <v>10</v>
      </c>
      <c r="B14" s="105">
        <v>17335761393</v>
      </c>
      <c r="C14" s="106">
        <v>0.14269999999999999</v>
      </c>
      <c r="D14" s="106">
        <v>0.1244</v>
      </c>
      <c r="E14" s="106">
        <f t="shared" si="0"/>
        <v>0.2671</v>
      </c>
      <c r="F14" s="107">
        <f t="shared" si="1"/>
        <v>46303818.680702999</v>
      </c>
      <c r="G14" s="28"/>
      <c r="M14" s="183"/>
      <c r="O14" s="4"/>
    </row>
    <row r="15" spans="1:16">
      <c r="A15" s="104" t="s">
        <v>148</v>
      </c>
      <c r="B15" s="105">
        <v>226124750589</v>
      </c>
      <c r="C15" s="106">
        <v>7.4999999999999997E-2</v>
      </c>
      <c r="D15" s="106">
        <v>6.1999999999999998E-3</v>
      </c>
      <c r="E15" s="106">
        <f t="shared" si="0"/>
        <v>8.1199999999999994E-2</v>
      </c>
      <c r="F15" s="107">
        <f t="shared" si="1"/>
        <v>183613297.47826797</v>
      </c>
      <c r="G15" s="28"/>
      <c r="M15" s="183"/>
      <c r="O15" s="4"/>
    </row>
    <row r="16" spans="1:16">
      <c r="A16" s="104" t="s">
        <v>24</v>
      </c>
      <c r="B16" s="105">
        <v>423071753336</v>
      </c>
      <c r="C16" s="106">
        <v>8.6099999999999996E-2</v>
      </c>
      <c r="D16" s="106">
        <v>1.95E-2</v>
      </c>
      <c r="E16" s="106">
        <f t="shared" si="0"/>
        <v>0.1056</v>
      </c>
      <c r="F16" s="107">
        <f t="shared" si="1"/>
        <v>446763771.522816</v>
      </c>
      <c r="G16" s="28"/>
      <c r="M16" s="184"/>
      <c r="O16" s="4"/>
    </row>
    <row r="17" spans="1:16" s="51" customFormat="1">
      <c r="A17" s="104" t="s">
        <v>40</v>
      </c>
      <c r="B17" s="105">
        <v>41152716337</v>
      </c>
      <c r="C17" s="106">
        <v>0.2044</v>
      </c>
      <c r="D17" s="106">
        <v>5.7299999999999997E-2</v>
      </c>
      <c r="E17" s="106">
        <f t="shared" si="0"/>
        <v>0.26169999999999999</v>
      </c>
      <c r="F17" s="107">
        <f t="shared" si="1"/>
        <v>107696658.65392901</v>
      </c>
      <c r="G17" s="28"/>
      <c r="I17" s="28"/>
      <c r="J17" s="28"/>
      <c r="K17" s="28"/>
      <c r="L17" s="28"/>
      <c r="M17" s="184"/>
      <c r="N17" s="28"/>
      <c r="O17" s="4"/>
    </row>
    <row r="18" spans="1:16" s="51" customFormat="1">
      <c r="A18" s="104" t="s">
        <v>70</v>
      </c>
      <c r="B18" s="105">
        <v>69650536145</v>
      </c>
      <c r="C18" s="106">
        <v>0.10780000000000001</v>
      </c>
      <c r="D18" s="106">
        <v>0</v>
      </c>
      <c r="E18" s="106">
        <f t="shared" si="0"/>
        <v>0.10780000000000001</v>
      </c>
      <c r="F18" s="107">
        <f t="shared" si="1"/>
        <v>75083277.964310005</v>
      </c>
      <c r="G18" s="28"/>
      <c r="I18" s="28"/>
      <c r="J18" s="28"/>
      <c r="K18" s="28"/>
      <c r="L18" s="28"/>
      <c r="M18" s="184"/>
      <c r="N18" s="28"/>
      <c r="O18" s="4"/>
    </row>
    <row r="19" spans="1:16" s="51" customFormat="1">
      <c r="A19" s="104" t="s">
        <v>71</v>
      </c>
      <c r="B19" s="105">
        <v>1400643353</v>
      </c>
      <c r="C19" s="106">
        <v>0.22</v>
      </c>
      <c r="D19" s="106">
        <v>0</v>
      </c>
      <c r="E19" s="106">
        <f t="shared" si="0"/>
        <v>0.22</v>
      </c>
      <c r="F19" s="107">
        <f t="shared" si="1"/>
        <v>3081415.3766000001</v>
      </c>
      <c r="G19" s="28"/>
      <c r="I19" s="28"/>
      <c r="J19" s="28"/>
      <c r="K19" s="28"/>
      <c r="L19" s="28"/>
      <c r="M19" s="184"/>
      <c r="N19" s="28"/>
      <c r="O19" s="4"/>
    </row>
    <row r="20" spans="1:16" s="51" customFormat="1">
      <c r="A20" s="104" t="s">
        <v>41</v>
      </c>
      <c r="B20" s="105">
        <v>15613840237</v>
      </c>
      <c r="C20" s="106">
        <v>0.1195</v>
      </c>
      <c r="D20" s="106">
        <v>0</v>
      </c>
      <c r="E20" s="106">
        <f t="shared" si="0"/>
        <v>0.1195</v>
      </c>
      <c r="F20" s="107">
        <f t="shared" si="1"/>
        <v>18658539.083214998</v>
      </c>
      <c r="G20" s="28"/>
      <c r="I20" s="28"/>
      <c r="J20" s="28"/>
      <c r="K20" s="28"/>
      <c r="L20" s="28"/>
      <c r="M20" s="185"/>
      <c r="N20" s="28"/>
      <c r="O20" s="4"/>
    </row>
    <row r="21" spans="1:16" s="51" customFormat="1">
      <c r="A21" s="104" t="s">
        <v>20</v>
      </c>
      <c r="B21" s="105">
        <v>24621937</v>
      </c>
      <c r="C21" s="106">
        <v>0.1168</v>
      </c>
      <c r="D21" s="106">
        <v>2.92E-2</v>
      </c>
      <c r="E21" s="106">
        <f t="shared" si="0"/>
        <v>0.14599999999999999</v>
      </c>
      <c r="F21" s="107">
        <f t="shared" si="1"/>
        <v>35948.028019999998</v>
      </c>
      <c r="G21" s="28"/>
      <c r="I21" s="28"/>
      <c r="J21" s="28"/>
      <c r="K21" s="28"/>
      <c r="L21" s="28"/>
      <c r="M21" s="28"/>
      <c r="N21" s="28"/>
      <c r="O21" s="28"/>
      <c r="P21" s="4"/>
    </row>
    <row r="22" spans="1:16" s="51" customFormat="1">
      <c r="A22" s="104" t="s">
        <v>19</v>
      </c>
      <c r="B22" s="105">
        <v>3916905493</v>
      </c>
      <c r="C22" s="106">
        <v>7.8100000000000003E-2</v>
      </c>
      <c r="D22" s="106">
        <v>0</v>
      </c>
      <c r="E22" s="106">
        <f t="shared" si="0"/>
        <v>7.8100000000000003E-2</v>
      </c>
      <c r="F22" s="107">
        <f t="shared" si="1"/>
        <v>3059103.190033</v>
      </c>
      <c r="G22" s="28"/>
      <c r="I22" s="28"/>
      <c r="J22" s="28"/>
      <c r="K22" s="28"/>
      <c r="L22" s="28"/>
      <c r="M22" s="28"/>
      <c r="N22" s="28"/>
      <c r="O22" s="28"/>
      <c r="P22" s="4"/>
    </row>
    <row r="23" spans="1:16" s="51" customFormat="1">
      <c r="A23" s="104" t="s">
        <v>32</v>
      </c>
      <c r="B23" s="105">
        <v>282586130838</v>
      </c>
      <c r="C23" s="106">
        <v>8.1600000000000006E-2</v>
      </c>
      <c r="D23" s="106">
        <v>1.46E-2</v>
      </c>
      <c r="E23" s="106">
        <f t="shared" si="0"/>
        <v>9.6200000000000008E-2</v>
      </c>
      <c r="F23" s="107">
        <f t="shared" si="1"/>
        <v>271847857.86615598</v>
      </c>
      <c r="G23" s="28"/>
      <c r="I23" s="28"/>
      <c r="J23" s="28"/>
      <c r="K23" s="28"/>
      <c r="L23" s="28"/>
      <c r="M23" s="28"/>
      <c r="N23" s="28"/>
      <c r="O23" s="28"/>
      <c r="P23" s="4"/>
    </row>
    <row r="24" spans="1:16" s="51" customFormat="1">
      <c r="A24" s="104" t="s">
        <v>22</v>
      </c>
      <c r="B24" s="105">
        <v>10676156914</v>
      </c>
      <c r="C24" s="106">
        <v>0.14610000000000001</v>
      </c>
      <c r="D24" s="106">
        <v>1.26E-2</v>
      </c>
      <c r="E24" s="106">
        <f t="shared" si="0"/>
        <v>0.15870000000000001</v>
      </c>
      <c r="F24" s="107">
        <f t="shared" si="1"/>
        <v>16943061.022518001</v>
      </c>
      <c r="G24" s="28"/>
      <c r="I24" s="28"/>
      <c r="J24" s="28"/>
      <c r="K24" s="28"/>
      <c r="L24" s="28"/>
      <c r="M24" s="28"/>
      <c r="N24" s="28"/>
      <c r="O24" s="28"/>
      <c r="P24" s="4"/>
    </row>
    <row r="25" spans="1:16" s="51" customFormat="1">
      <c r="A25" s="104" t="s">
        <v>181</v>
      </c>
      <c r="B25" s="105">
        <v>5936385801</v>
      </c>
      <c r="C25" s="106">
        <v>0.146144</v>
      </c>
      <c r="D25" s="106">
        <v>3.0972E-2</v>
      </c>
      <c r="E25" s="106">
        <f t="shared" si="0"/>
        <v>0.177116</v>
      </c>
      <c r="F25" s="107">
        <f t="shared" si="1"/>
        <v>10514289.075299159</v>
      </c>
      <c r="G25" s="28"/>
      <c r="I25" s="28"/>
      <c r="J25" s="28"/>
      <c r="K25" s="28"/>
      <c r="L25" s="28"/>
      <c r="M25" s="28"/>
      <c r="N25" s="28"/>
      <c r="O25" s="28"/>
      <c r="P25" s="4"/>
    </row>
    <row r="26" spans="1:16" s="51" customFormat="1">
      <c r="A26" s="104" t="s">
        <v>30</v>
      </c>
      <c r="B26" s="105">
        <v>24066503467</v>
      </c>
      <c r="C26" s="106">
        <v>0.19750000000000001</v>
      </c>
      <c r="D26" s="106">
        <v>4.4900000000000002E-2</v>
      </c>
      <c r="E26" s="106">
        <f t="shared" si="0"/>
        <v>0.2424</v>
      </c>
      <c r="F26" s="107">
        <f t="shared" si="1"/>
        <v>58337204.404008001</v>
      </c>
      <c r="G26" s="28"/>
      <c r="I26" s="28"/>
      <c r="J26" s="28"/>
      <c r="K26" s="28"/>
      <c r="L26" s="28"/>
      <c r="M26" s="28"/>
      <c r="N26" s="28"/>
      <c r="O26" s="28"/>
      <c r="P26" s="4"/>
    </row>
    <row r="27" spans="1:16" s="51" customFormat="1">
      <c r="A27" s="104" t="s">
        <v>35</v>
      </c>
      <c r="B27" s="105">
        <v>21447301733</v>
      </c>
      <c r="C27" s="106">
        <v>0.5</v>
      </c>
      <c r="D27" s="106">
        <v>2.41E-2</v>
      </c>
      <c r="E27" s="106">
        <f t="shared" si="0"/>
        <v>0.52410000000000001</v>
      </c>
      <c r="F27" s="107">
        <f t="shared" si="1"/>
        <v>112405308.38265301</v>
      </c>
      <c r="G27" s="28"/>
      <c r="I27" s="28"/>
      <c r="J27" s="28"/>
      <c r="K27" s="28"/>
      <c r="L27" s="28"/>
      <c r="M27" s="28"/>
      <c r="N27" s="28"/>
      <c r="O27" s="28"/>
      <c r="P27" s="4"/>
    </row>
    <row r="28" spans="1:16" s="51" customFormat="1">
      <c r="A28" s="104" t="s">
        <v>147</v>
      </c>
      <c r="B28" s="105">
        <v>323982209193</v>
      </c>
      <c r="C28" s="106">
        <v>7.5700000000000003E-2</v>
      </c>
      <c r="D28" s="106">
        <v>3.1899999999999998E-2</v>
      </c>
      <c r="E28" s="106">
        <f t="shared" si="0"/>
        <v>0.1076</v>
      </c>
      <c r="F28" s="107">
        <f t="shared" si="1"/>
        <v>348604857.09166801</v>
      </c>
      <c r="G28" s="28"/>
      <c r="I28" s="28"/>
      <c r="J28" s="28"/>
      <c r="K28" s="28"/>
      <c r="L28" s="28"/>
      <c r="M28" s="28"/>
      <c r="N28" s="28"/>
      <c r="O28" s="28"/>
      <c r="P28" s="4"/>
    </row>
    <row r="29" spans="1:16" s="51" customFormat="1">
      <c r="A29" s="104" t="s">
        <v>28</v>
      </c>
      <c r="B29" s="105">
        <v>30712564299</v>
      </c>
      <c r="C29" s="106">
        <v>0.1137</v>
      </c>
      <c r="D29" s="106">
        <v>1.83E-2</v>
      </c>
      <c r="E29" s="106">
        <f t="shared" si="0"/>
        <v>0.13200000000000001</v>
      </c>
      <c r="F29" s="107">
        <f t="shared" si="1"/>
        <v>40540584.874680005</v>
      </c>
      <c r="G29" s="28"/>
      <c r="I29" s="28"/>
      <c r="J29" s="28"/>
      <c r="K29" s="28"/>
      <c r="L29" s="28"/>
      <c r="M29" s="28"/>
      <c r="N29" s="28"/>
      <c r="O29" s="28"/>
      <c r="P29" s="4"/>
    </row>
    <row r="30" spans="1:16" s="51" customFormat="1">
      <c r="A30" s="104" t="s">
        <v>21</v>
      </c>
      <c r="B30" s="105">
        <v>56196685602</v>
      </c>
      <c r="C30" s="106">
        <v>7.7600000000000002E-2</v>
      </c>
      <c r="D30" s="106">
        <v>5.4000000000000003E-3</v>
      </c>
      <c r="E30" s="106">
        <f t="shared" si="0"/>
        <v>8.3000000000000004E-2</v>
      </c>
      <c r="F30" s="107">
        <f t="shared" si="1"/>
        <v>46643249.049660005</v>
      </c>
      <c r="G30" s="28"/>
      <c r="I30" s="28"/>
      <c r="J30" s="28"/>
      <c r="K30" s="28"/>
      <c r="L30" s="28"/>
      <c r="M30" s="28"/>
      <c r="N30" s="28"/>
      <c r="O30" s="28"/>
      <c r="P30" s="4"/>
    </row>
    <row r="31" spans="1:16" s="51" customFormat="1">
      <c r="A31" s="104" t="s">
        <v>5</v>
      </c>
      <c r="B31" s="105">
        <v>7674211018</v>
      </c>
      <c r="C31" s="106">
        <v>9.6799999999999997E-2</v>
      </c>
      <c r="D31" s="106">
        <v>0</v>
      </c>
      <c r="E31" s="106">
        <f t="shared" si="0"/>
        <v>9.6799999999999997E-2</v>
      </c>
      <c r="F31" s="107">
        <f t="shared" si="1"/>
        <v>7428636.2654240001</v>
      </c>
      <c r="G31" s="28"/>
      <c r="I31" s="28"/>
      <c r="J31" s="28"/>
      <c r="K31" s="28"/>
      <c r="L31" s="28"/>
      <c r="M31" s="28"/>
      <c r="N31" s="28"/>
      <c r="O31" s="28"/>
      <c r="P31" s="4"/>
    </row>
    <row r="32" spans="1:16" s="51" customFormat="1">
      <c r="A32" s="104" t="s">
        <v>6</v>
      </c>
      <c r="B32" s="105">
        <v>6481988730</v>
      </c>
      <c r="C32" s="106">
        <v>6.4000000000000001E-2</v>
      </c>
      <c r="D32" s="106">
        <v>3.0499999999999999E-2</v>
      </c>
      <c r="E32" s="106">
        <f t="shared" si="0"/>
        <v>9.4500000000000001E-2</v>
      </c>
      <c r="F32" s="107">
        <f t="shared" si="1"/>
        <v>6125479.3498499999</v>
      </c>
      <c r="G32" s="28"/>
      <c r="I32" s="28"/>
      <c r="J32" s="28"/>
      <c r="K32" s="28"/>
      <c r="L32" s="28"/>
      <c r="M32" s="28"/>
      <c r="N32" s="28"/>
      <c r="O32" s="28"/>
      <c r="P32" s="4"/>
    </row>
    <row r="33" spans="1:16" s="51" customFormat="1">
      <c r="A33" s="104" t="s">
        <v>42</v>
      </c>
      <c r="B33" s="105">
        <v>6433791294</v>
      </c>
      <c r="C33" s="106">
        <v>7.8700000000000006E-2</v>
      </c>
      <c r="D33" s="106">
        <v>3.1300000000000001E-2</v>
      </c>
      <c r="E33" s="106">
        <f t="shared" si="0"/>
        <v>0.11000000000000001</v>
      </c>
      <c r="F33" s="107">
        <f t="shared" si="1"/>
        <v>7077170.4234000007</v>
      </c>
      <c r="G33" s="28"/>
      <c r="I33" s="28"/>
      <c r="J33" s="28"/>
      <c r="K33" s="28"/>
      <c r="L33" s="28"/>
      <c r="M33" s="28"/>
      <c r="N33" s="28"/>
      <c r="O33" s="28"/>
      <c r="P33" s="4"/>
    </row>
    <row r="34" spans="1:16" s="51" customFormat="1">
      <c r="A34" s="104" t="s">
        <v>23</v>
      </c>
      <c r="B34" s="105">
        <v>20375149535</v>
      </c>
      <c r="C34" s="106">
        <v>0.15579999999999999</v>
      </c>
      <c r="D34" s="106">
        <v>2.1100000000000001E-2</v>
      </c>
      <c r="E34" s="106">
        <f t="shared" si="0"/>
        <v>0.1769</v>
      </c>
      <c r="F34" s="107">
        <f t="shared" si="1"/>
        <v>36043639.527415</v>
      </c>
      <c r="G34" s="28"/>
      <c r="I34" s="28"/>
      <c r="J34" s="28"/>
      <c r="K34" s="28"/>
      <c r="L34" s="28"/>
      <c r="M34" s="28"/>
      <c r="N34" s="28"/>
      <c r="O34" s="28"/>
      <c r="P34" s="4"/>
    </row>
    <row r="35" spans="1:16" s="51" customFormat="1">
      <c r="A35" s="104" t="s">
        <v>25</v>
      </c>
      <c r="B35" s="105">
        <v>5088571576</v>
      </c>
      <c r="C35" s="106">
        <v>0.248</v>
      </c>
      <c r="D35" s="106">
        <v>3.8300000000000001E-2</v>
      </c>
      <c r="E35" s="106">
        <f t="shared" si="0"/>
        <v>0.2863</v>
      </c>
      <c r="F35" s="107">
        <f t="shared" si="1"/>
        <v>14568580.422088001</v>
      </c>
      <c r="G35" s="28"/>
      <c r="I35" s="28"/>
      <c r="J35" s="28"/>
      <c r="K35" s="28"/>
      <c r="L35" s="28"/>
      <c r="M35" s="28"/>
      <c r="N35" s="28"/>
      <c r="O35" s="28"/>
      <c r="P35" s="4"/>
    </row>
    <row r="36" spans="1:16" s="51" customFormat="1">
      <c r="A36" s="104" t="s">
        <v>36</v>
      </c>
      <c r="B36" s="105">
        <v>7127530974</v>
      </c>
      <c r="C36" s="106">
        <v>6.6600000000000006E-2</v>
      </c>
      <c r="D36" s="106">
        <v>0</v>
      </c>
      <c r="E36" s="106">
        <f t="shared" si="0"/>
        <v>6.6600000000000006E-2</v>
      </c>
      <c r="F36" s="107">
        <f t="shared" si="1"/>
        <v>4746935.6286840001</v>
      </c>
      <c r="G36" s="28"/>
      <c r="I36" s="28"/>
      <c r="J36" s="28"/>
      <c r="K36" s="28"/>
      <c r="L36" s="28"/>
      <c r="M36" s="28"/>
      <c r="N36" s="28"/>
      <c r="O36" s="28"/>
      <c r="P36" s="4"/>
    </row>
    <row r="37" spans="1:16" s="51" customFormat="1">
      <c r="A37" s="104" t="s">
        <v>39</v>
      </c>
      <c r="B37" s="105">
        <v>231369076</v>
      </c>
      <c r="C37" s="106">
        <v>1.55E-2</v>
      </c>
      <c r="D37" s="106">
        <v>0.24160000000000001</v>
      </c>
      <c r="E37" s="106">
        <f t="shared" si="0"/>
        <v>0.2571</v>
      </c>
      <c r="F37" s="107">
        <f t="shared" si="1"/>
        <v>594849.89439599996</v>
      </c>
      <c r="G37" s="28"/>
      <c r="I37" s="28"/>
      <c r="J37" s="28"/>
      <c r="K37" s="28"/>
      <c r="L37" s="28"/>
      <c r="M37" s="28"/>
      <c r="N37" s="28"/>
      <c r="O37" s="28"/>
      <c r="P37" s="4"/>
    </row>
    <row r="38" spans="1:16" s="51" customFormat="1">
      <c r="A38" s="104" t="s">
        <v>37</v>
      </c>
      <c r="B38" s="105">
        <v>84946005577</v>
      </c>
      <c r="C38" s="106">
        <v>0.107</v>
      </c>
      <c r="D38" s="106">
        <v>4.7899999999999998E-2</v>
      </c>
      <c r="E38" s="106">
        <f t="shared" si="0"/>
        <v>0.15489999999999998</v>
      </c>
      <c r="F38" s="107">
        <f t="shared" si="1"/>
        <v>131581362.63877298</v>
      </c>
      <c r="G38" s="28"/>
      <c r="I38" s="28"/>
      <c r="J38" s="28"/>
      <c r="K38" s="28"/>
      <c r="L38" s="28"/>
      <c r="M38" s="28"/>
      <c r="N38" s="28"/>
      <c r="O38" s="28"/>
      <c r="P38" s="4"/>
    </row>
    <row r="39" spans="1:16" s="51" customFormat="1">
      <c r="A39" s="104" t="s">
        <v>12</v>
      </c>
      <c r="B39" s="105">
        <v>3715683000</v>
      </c>
      <c r="C39" s="106">
        <v>0.317</v>
      </c>
      <c r="D39" s="106">
        <v>0</v>
      </c>
      <c r="E39" s="106">
        <f t="shared" si="0"/>
        <v>0.317</v>
      </c>
      <c r="F39" s="107">
        <f t="shared" si="1"/>
        <v>11778715.109999999</v>
      </c>
      <c r="G39" s="28"/>
      <c r="I39" s="28"/>
      <c r="J39" s="28"/>
      <c r="K39" s="28"/>
      <c r="L39" s="28"/>
      <c r="M39" s="28"/>
      <c r="N39" s="28"/>
      <c r="O39" s="28"/>
      <c r="P39" s="4"/>
    </row>
    <row r="40" spans="1:16" s="51" customFormat="1">
      <c r="A40" s="104" t="s">
        <v>27</v>
      </c>
      <c r="B40" s="105">
        <v>62493280038</v>
      </c>
      <c r="C40" s="106">
        <v>0.13930000000000001</v>
      </c>
      <c r="D40" s="106">
        <v>2.2700000000000001E-2</v>
      </c>
      <c r="E40" s="106">
        <f t="shared" si="0"/>
        <v>0.16200000000000001</v>
      </c>
      <c r="F40" s="107">
        <f t="shared" si="1"/>
        <v>101239113.66156</v>
      </c>
      <c r="G40" s="28"/>
      <c r="I40" s="28"/>
      <c r="J40" s="28"/>
      <c r="K40" s="28"/>
      <c r="L40" s="28"/>
      <c r="M40" s="28"/>
      <c r="N40" s="28"/>
      <c r="O40" s="28"/>
      <c r="P40" s="4"/>
    </row>
    <row r="41" spans="1:16" s="51" customFormat="1">
      <c r="A41" s="104" t="s">
        <v>72</v>
      </c>
      <c r="B41" s="105">
        <v>6033007185</v>
      </c>
      <c r="C41" s="106">
        <v>0.12</v>
      </c>
      <c r="D41" s="106">
        <v>0</v>
      </c>
      <c r="E41" s="106">
        <f t="shared" si="0"/>
        <v>0.12</v>
      </c>
      <c r="F41" s="107">
        <f t="shared" si="1"/>
        <v>7239608.6219999995</v>
      </c>
      <c r="G41" s="28"/>
      <c r="I41" s="28"/>
      <c r="J41" s="28"/>
      <c r="K41" s="28"/>
      <c r="L41" s="28"/>
      <c r="M41" s="28"/>
      <c r="N41" s="28"/>
      <c r="O41" s="28"/>
      <c r="P41" s="4"/>
    </row>
    <row r="42" spans="1:16" s="51" customFormat="1">
      <c r="A42" s="104" t="s">
        <v>34</v>
      </c>
      <c r="B42" s="105">
        <v>309522774554</v>
      </c>
      <c r="C42" s="106">
        <v>9.7799999999999998E-2</v>
      </c>
      <c r="D42" s="106">
        <v>1.4500000000000001E-2</v>
      </c>
      <c r="E42" s="106">
        <f t="shared" si="0"/>
        <v>0.1123</v>
      </c>
      <c r="F42" s="107">
        <f t="shared" si="1"/>
        <v>347594075.82414198</v>
      </c>
      <c r="G42" s="28"/>
      <c r="I42" s="28"/>
      <c r="J42" s="28"/>
      <c r="K42" s="28"/>
      <c r="L42" s="28"/>
      <c r="M42" s="28"/>
      <c r="N42" s="28"/>
      <c r="O42" s="28"/>
      <c r="P42" s="4"/>
    </row>
    <row r="43" spans="1:16" s="51" customFormat="1">
      <c r="A43" s="104" t="s">
        <v>135</v>
      </c>
      <c r="B43" s="105">
        <v>12045871122</v>
      </c>
      <c r="C43" s="106">
        <v>0.14599999999999999</v>
      </c>
      <c r="D43" s="106">
        <v>5.57E-2</v>
      </c>
      <c r="E43" s="106">
        <f t="shared" si="0"/>
        <v>0.20169999999999999</v>
      </c>
      <c r="F43" s="107">
        <f t="shared" si="1"/>
        <v>24296522.053073999</v>
      </c>
      <c r="G43" s="28"/>
      <c r="I43" s="28"/>
      <c r="J43" s="28"/>
      <c r="K43" s="28"/>
      <c r="L43" s="28"/>
      <c r="M43" s="28"/>
      <c r="N43" s="28"/>
      <c r="O43" s="28"/>
      <c r="P43" s="4"/>
    </row>
    <row r="44" spans="1:16" s="51" customFormat="1">
      <c r="A44" s="104" t="s">
        <v>33</v>
      </c>
      <c r="B44" s="105">
        <v>9075268718</v>
      </c>
      <c r="C44" s="106">
        <v>0.10970000000000001</v>
      </c>
      <c r="D44" s="106">
        <v>0</v>
      </c>
      <c r="E44" s="106">
        <f t="shared" si="0"/>
        <v>0.10970000000000001</v>
      </c>
      <c r="F44" s="107">
        <f t="shared" si="1"/>
        <v>9955569.7836460005</v>
      </c>
      <c r="G44" s="28"/>
      <c r="I44" s="28"/>
      <c r="J44" s="28"/>
      <c r="K44" s="28"/>
      <c r="L44" s="28"/>
      <c r="M44" s="28"/>
      <c r="N44" s="28"/>
      <c r="O44" s="28"/>
      <c r="P44" s="4"/>
    </row>
    <row r="45" spans="1:16" s="51" customFormat="1">
      <c r="A45" s="104" t="s">
        <v>152</v>
      </c>
      <c r="B45" s="105">
        <v>22540874472</v>
      </c>
      <c r="C45" s="106">
        <v>9.3200000000000005E-2</v>
      </c>
      <c r="D45" s="106">
        <v>2.1999999999999999E-2</v>
      </c>
      <c r="E45" s="106">
        <f t="shared" si="0"/>
        <v>0.1152</v>
      </c>
      <c r="F45" s="107">
        <f t="shared" si="1"/>
        <v>25967087.391743999</v>
      </c>
      <c r="G45" s="28"/>
      <c r="I45" s="28"/>
      <c r="J45" s="28"/>
      <c r="K45" s="28"/>
      <c r="L45" s="28"/>
      <c r="M45" s="28"/>
      <c r="N45" s="28"/>
      <c r="O45" s="28"/>
      <c r="P45" s="4"/>
    </row>
    <row r="46" spans="1:16" s="51" customFormat="1">
      <c r="A46" s="104" t="s">
        <v>11</v>
      </c>
      <c r="B46" s="105">
        <v>28413592694</v>
      </c>
      <c r="C46" s="106">
        <v>0.1137</v>
      </c>
      <c r="D46" s="106">
        <v>0</v>
      </c>
      <c r="E46" s="106">
        <f t="shared" si="0"/>
        <v>0.1137</v>
      </c>
      <c r="F46" s="107">
        <f t="shared" si="1"/>
        <v>32306254.893077999</v>
      </c>
      <c r="G46" s="28"/>
      <c r="I46" s="28"/>
      <c r="J46" s="28"/>
      <c r="K46" s="28"/>
      <c r="L46" s="28"/>
      <c r="M46" s="28"/>
      <c r="N46" s="28"/>
      <c r="O46" s="28"/>
      <c r="P46" s="4"/>
    </row>
    <row r="47" spans="1:16" s="51" customFormat="1">
      <c r="A47" s="104" t="s">
        <v>29</v>
      </c>
      <c r="B47" s="105">
        <v>19275579740</v>
      </c>
      <c r="C47" s="106">
        <v>0.14530000000000001</v>
      </c>
      <c r="D47" s="106">
        <v>4.1599999999999998E-2</v>
      </c>
      <c r="E47" s="106">
        <f t="shared" si="0"/>
        <v>0.18690000000000001</v>
      </c>
      <c r="F47" s="107">
        <f t="shared" si="1"/>
        <v>36026058.534060001</v>
      </c>
      <c r="G47" s="28"/>
      <c r="I47" s="28"/>
      <c r="J47" s="28"/>
      <c r="K47" s="28"/>
      <c r="L47" s="28"/>
      <c r="M47" s="28"/>
      <c r="N47" s="28"/>
      <c r="O47" s="28"/>
      <c r="P47" s="4"/>
    </row>
    <row r="48" spans="1:16" s="51" customFormat="1">
      <c r="A48" s="104" t="s">
        <v>182</v>
      </c>
      <c r="B48" s="105">
        <v>1576240817</v>
      </c>
      <c r="C48" s="106">
        <v>0.21678800000000001</v>
      </c>
      <c r="D48" s="106">
        <v>0</v>
      </c>
      <c r="E48" s="106">
        <f t="shared" si="0"/>
        <v>0.21678800000000001</v>
      </c>
      <c r="F48" s="107">
        <f t="shared" si="1"/>
        <v>3417100.9423579602</v>
      </c>
      <c r="G48" s="28"/>
      <c r="I48" s="28"/>
      <c r="J48" s="28"/>
      <c r="K48" s="28"/>
      <c r="L48" s="28"/>
      <c r="M48" s="28"/>
      <c r="N48" s="28"/>
      <c r="O48" s="28"/>
      <c r="P48" s="4"/>
    </row>
    <row r="49" spans="1:16" s="28" customFormat="1">
      <c r="A49" s="104" t="s">
        <v>16</v>
      </c>
      <c r="B49" s="105">
        <v>10919638575</v>
      </c>
      <c r="C49" s="106">
        <v>0.15490000000000001</v>
      </c>
      <c r="D49" s="106">
        <v>2.8299999999999999E-2</v>
      </c>
      <c r="E49" s="106">
        <f t="shared" si="0"/>
        <v>0.1832</v>
      </c>
      <c r="F49" s="107">
        <f t="shared" si="1"/>
        <v>20004777.869400002</v>
      </c>
      <c r="H49" s="51"/>
      <c r="P49" s="4"/>
    </row>
    <row r="50" spans="1:16" s="28" customFormat="1">
      <c r="A50" s="104" t="s">
        <v>7</v>
      </c>
      <c r="B50" s="105">
        <v>27795784403</v>
      </c>
      <c r="C50" s="106">
        <v>0.1061</v>
      </c>
      <c r="D50" s="106">
        <v>0</v>
      </c>
      <c r="E50" s="106">
        <f t="shared" si="0"/>
        <v>0.1061</v>
      </c>
      <c r="F50" s="107">
        <f t="shared" si="1"/>
        <v>29491327.251582999</v>
      </c>
      <c r="H50" s="51"/>
      <c r="P50" s="4"/>
    </row>
    <row r="51" spans="1:16" s="28" customFormat="1">
      <c r="A51" s="180" t="s">
        <v>15</v>
      </c>
      <c r="B51" s="181">
        <v>3737756832</v>
      </c>
      <c r="C51" s="182">
        <v>0.26500000000000001</v>
      </c>
      <c r="D51" s="182">
        <v>0</v>
      </c>
      <c r="E51" s="106">
        <f t="shared" si="0"/>
        <v>0.26500000000000001</v>
      </c>
      <c r="F51" s="107">
        <f t="shared" si="1"/>
        <v>9905055.6048000008</v>
      </c>
      <c r="H51" s="51"/>
      <c r="P51" s="4"/>
    </row>
    <row r="52" spans="1:16" s="28" customFormat="1">
      <c r="A52" s="180" t="s">
        <v>26</v>
      </c>
      <c r="B52" s="181">
        <v>9394982861</v>
      </c>
      <c r="C52" s="182">
        <v>0.1328</v>
      </c>
      <c r="D52" s="182">
        <v>0</v>
      </c>
      <c r="E52" s="106">
        <f t="shared" si="0"/>
        <v>0.1328</v>
      </c>
      <c r="F52" s="107">
        <f t="shared" si="1"/>
        <v>12476537.239407999</v>
      </c>
      <c r="H52" s="51"/>
      <c r="P52" s="4"/>
    </row>
    <row r="53" spans="1:16" s="28" customFormat="1" ht="16.5" thickBot="1">
      <c r="A53" s="108" t="s">
        <v>183</v>
      </c>
      <c r="B53" s="109">
        <f>SUM(B3:B52)</f>
        <v>2990577178202</v>
      </c>
      <c r="C53" s="110">
        <f>AVERAGE(C3:C52)</f>
        <v>0.14124264000000003</v>
      </c>
      <c r="D53" s="110">
        <f t="shared" ref="D53:E53" si="2">AVERAGE(D3:D52)</f>
        <v>2.3899440000000004E-2</v>
      </c>
      <c r="E53" s="110">
        <f t="shared" si="2"/>
        <v>0.16514207999999997</v>
      </c>
      <c r="F53" s="109">
        <f>SUM(F3:F52)</f>
        <v>3650551132.2721362</v>
      </c>
      <c r="G53" s="51"/>
      <c r="H53" s="51"/>
      <c r="I53" s="51"/>
      <c r="J53" s="51"/>
      <c r="P53" s="4"/>
    </row>
    <row r="54" spans="1:16" s="28" customFormat="1" ht="18" customHeight="1">
      <c r="A54" s="240" t="s">
        <v>185</v>
      </c>
      <c r="B54" s="241"/>
      <c r="C54" s="241"/>
      <c r="D54" s="241"/>
      <c r="E54" s="241"/>
      <c r="F54" s="241"/>
      <c r="G54" s="34"/>
      <c r="H54" s="51"/>
      <c r="P54" s="4"/>
    </row>
    <row r="55" spans="1:16" s="28" customFormat="1">
      <c r="A55" s="218"/>
      <c r="B55" s="220"/>
      <c r="C55" s="220"/>
      <c r="D55" s="220"/>
      <c r="E55" s="220"/>
      <c r="F55" s="220"/>
      <c r="G55" s="59"/>
      <c r="H55" s="51"/>
      <c r="I55" s="51"/>
      <c r="J55" s="51"/>
      <c r="P55" s="4"/>
    </row>
    <row r="56" spans="1:16" s="28" customFormat="1">
      <c r="A56" s="186"/>
      <c r="B56" s="220"/>
      <c r="C56" s="220"/>
      <c r="D56" s="220"/>
      <c r="E56" s="220"/>
      <c r="F56" s="220"/>
      <c r="G56" s="46"/>
      <c r="H56" s="51"/>
      <c r="P56" s="4"/>
    </row>
    <row r="57" spans="1:16" s="28" customFormat="1" hidden="1">
      <c r="A57" s="21"/>
      <c r="B57" s="60">
        <f>AVERAGE(B3:B50)</f>
        <v>62030092468.9375</v>
      </c>
      <c r="C57" s="61"/>
      <c r="D57" s="61"/>
      <c r="E57" s="61"/>
      <c r="F57" s="60">
        <f>AVERAGE(F3:F50)</f>
        <v>75586865.404748499</v>
      </c>
      <c r="G57" s="51"/>
      <c r="H57" s="51"/>
      <c r="P57" s="4"/>
    </row>
    <row r="58" spans="1:16">
      <c r="A58" s="20"/>
    </row>
  </sheetData>
  <mergeCells count="4">
    <mergeCell ref="A1:F1"/>
    <mergeCell ref="A54:F54"/>
    <mergeCell ref="A55:F55"/>
    <mergeCell ref="A56:F56"/>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Tuition &amp; Fees Summary</vt:lpstr>
      <vt:lpstr>Tuition &amp; Fees By College</vt:lpstr>
      <vt:lpstr>Dual Credit by College</vt:lpstr>
      <vt:lpstr>Dual Credit Costs</vt:lpstr>
      <vt:lpstr>Branch Taxes</vt:lpstr>
      <vt:lpstr>Property Tax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Chris Fernandez</cp:lastModifiedBy>
  <dcterms:created xsi:type="dcterms:W3CDTF">2024-11-19T22:15:49Z</dcterms:created>
  <dcterms:modified xsi:type="dcterms:W3CDTF">2026-05-28T19:55:54Z</dcterms:modified>
</cp:coreProperties>
</file>